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30"/>
  </bookViews>
  <sheets>
    <sheet name="ĐƠN GIÁ TRTT" sheetId="29" r:id="rId1"/>
  </sheets>
  <definedNames>
    <definedName name="_xlnm.Print_Area" localSheetId="0">'ĐƠN GIÁ TRTT'!$A$1:$G$108</definedName>
    <definedName name="_xlnm.Print_Titles" localSheetId="0">'ĐƠN GIÁ TRTT'!$10:$11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29" l="1"/>
  <c r="D50" i="29"/>
  <c r="D75" i="29" l="1"/>
  <c r="D74" i="29"/>
  <c r="D72" i="29"/>
  <c r="D71" i="29"/>
  <c r="D69" i="29"/>
  <c r="D68" i="29"/>
  <c r="D67" i="29"/>
  <c r="D61" i="29"/>
  <c r="D60" i="29"/>
  <c r="D58" i="29"/>
  <c r="D57" i="29"/>
  <c r="D55" i="29"/>
  <c r="D54" i="29"/>
  <c r="D53" i="29"/>
  <c r="D52" i="29"/>
  <c r="D44" i="29"/>
  <c r="D43" i="29"/>
  <c r="D41" i="29"/>
  <c r="D40" i="29"/>
  <c r="D39" i="29"/>
  <c r="D35" i="29"/>
  <c r="D34" i="29"/>
  <c r="D33" i="29"/>
  <c r="D32" i="29"/>
  <c r="D31" i="29"/>
  <c r="F82" i="29"/>
  <c r="F88" i="29"/>
  <c r="F91" i="29"/>
  <c r="F97" i="29"/>
  <c r="E76" i="29"/>
  <c r="E75" i="29"/>
  <c r="E74" i="29"/>
  <c r="E72" i="29"/>
  <c r="E71" i="29"/>
  <c r="E69" i="29"/>
  <c r="E68" i="29"/>
  <c r="E67" i="29"/>
  <c r="E62" i="29"/>
  <c r="E61" i="29"/>
  <c r="E60" i="29"/>
  <c r="E58" i="29"/>
  <c r="E57" i="29"/>
  <c r="E55" i="29"/>
  <c r="E54" i="29"/>
  <c r="E53" i="29"/>
  <c r="E52" i="29"/>
  <c r="E47" i="29"/>
  <c r="E45" i="29"/>
  <c r="E44" i="29"/>
  <c r="E43" i="29"/>
  <c r="E41" i="29"/>
  <c r="E40" i="29"/>
  <c r="E39" i="29"/>
  <c r="E36" i="29"/>
  <c r="E35" i="29"/>
  <c r="E34" i="29"/>
  <c r="E33" i="29"/>
  <c r="E32" i="29"/>
  <c r="E31" i="29"/>
  <c r="F78" i="29" l="1"/>
  <c r="F94" i="29"/>
  <c r="F85" i="29"/>
  <c r="D19" i="29"/>
  <c r="F41" i="29"/>
  <c r="F76" i="29"/>
  <c r="F62" i="29" l="1"/>
  <c r="F52" i="29"/>
  <c r="F47" i="29"/>
  <c r="F45" i="29"/>
  <c r="F16" i="29"/>
  <c r="F74" i="29"/>
  <c r="F55" i="29"/>
  <c r="F54" i="29"/>
  <c r="F43" i="29"/>
  <c r="F39" i="29"/>
  <c r="F36" i="29"/>
  <c r="F32" i="29"/>
  <c r="F31" i="29" l="1"/>
  <c r="F35" i="29"/>
  <c r="F34" i="29"/>
  <c r="F33" i="29"/>
  <c r="E21" i="29"/>
  <c r="E19" i="29"/>
  <c r="F19" i="29" s="1"/>
  <c r="F30" i="29" l="1"/>
  <c r="D30" i="29"/>
  <c r="D29" i="29" s="1"/>
  <c r="D27" i="29" s="1"/>
  <c r="E25" i="29"/>
  <c r="E24" i="29"/>
  <c r="D21" i="29"/>
  <c r="D20" i="29" s="1"/>
  <c r="D15" i="29"/>
  <c r="F21" i="29" l="1"/>
  <c r="D18" i="29"/>
  <c r="F69" i="29" l="1"/>
  <c r="F71" i="29"/>
  <c r="F75" i="29"/>
  <c r="F73" i="29" s="1"/>
  <c r="F72" i="29"/>
  <c r="F68" i="29"/>
  <c r="F61" i="29"/>
  <c r="F53" i="29"/>
  <c r="F58" i="29"/>
  <c r="F60" i="29"/>
  <c r="F57" i="29"/>
  <c r="D25" i="29"/>
  <c r="F25" i="29" s="1"/>
  <c r="D24" i="29"/>
  <c r="F24" i="29" s="1"/>
  <c r="D23" i="29"/>
  <c r="F23" i="29" s="1"/>
  <c r="F44" i="29"/>
  <c r="F42" i="29" s="1"/>
  <c r="F67" i="29" l="1"/>
  <c r="F66" i="29" s="1"/>
  <c r="D66" i="29"/>
  <c r="F40" i="29"/>
  <c r="F38" i="29" s="1"/>
  <c r="D38" i="29"/>
  <c r="F22" i="29"/>
  <c r="D22" i="29"/>
  <c r="D42" i="29"/>
  <c r="D51" i="29"/>
  <c r="D59" i="29"/>
  <c r="D56" i="29"/>
  <c r="F20" i="29"/>
  <c r="F18" i="29"/>
  <c r="D73" i="29"/>
  <c r="F15" i="29"/>
  <c r="D70" i="29"/>
  <c r="F17" i="29" l="1"/>
  <c r="F26" i="29" s="1"/>
  <c r="F51" i="29"/>
  <c r="F70" i="29"/>
  <c r="F59" i="29"/>
  <c r="F56" i="29"/>
  <c r="F37" i="29"/>
  <c r="D65" i="29"/>
  <c r="D37" i="29"/>
  <c r="F50" i="29" l="1"/>
  <c r="F63" i="29" s="1"/>
  <c r="F65" i="29"/>
  <c r="F14" i="29"/>
  <c r="F49" i="29" l="1"/>
  <c r="F77" i="29"/>
  <c r="F64" i="29" s="1"/>
  <c r="F29" i="29"/>
  <c r="F48" i="29" l="1"/>
  <c r="F46" i="29" s="1"/>
  <c r="F28" i="29" l="1"/>
  <c r="F27" i="29" s="1"/>
  <c r="F13" i="29" l="1"/>
  <c r="F100" i="29" s="1"/>
  <c r="F101" i="29" l="1"/>
  <c r="F12" i="29" s="1"/>
</calcChain>
</file>

<file path=xl/sharedStrings.xml><?xml version="1.0" encoding="utf-8"?>
<sst xmlns="http://schemas.openxmlformats.org/spreadsheetml/2006/main" count="209" uniqueCount="99">
  <si>
    <t>+</t>
  </si>
  <si>
    <t>Hạng mục</t>
  </si>
  <si>
    <t>TT</t>
  </si>
  <si>
    <t>Trồng rừng</t>
  </si>
  <si>
    <t>a</t>
  </si>
  <si>
    <t>b</t>
  </si>
  <si>
    <t>Định mức</t>
  </si>
  <si>
    <t>Đơn giá (đồng)</t>
  </si>
  <si>
    <t>Công</t>
  </si>
  <si>
    <t>Lấp hố</t>
  </si>
  <si>
    <t>Cây</t>
  </si>
  <si>
    <t>2.1</t>
  </si>
  <si>
    <t>2.2</t>
  </si>
  <si>
    <t>1.1</t>
  </si>
  <si>
    <t>ĐVT</t>
  </si>
  <si>
    <t>Thành tiền (đồng)</t>
  </si>
  <si>
    <t>%</t>
  </si>
  <si>
    <t>c</t>
  </si>
  <si>
    <t xml:space="preserve"> -</t>
  </si>
  <si>
    <t>3.1</t>
  </si>
  <si>
    <t>3.2</t>
  </si>
  <si>
    <t>Kg</t>
  </si>
  <si>
    <t>Chăm sóc lần 1</t>
  </si>
  <si>
    <t xml:space="preserve"> +</t>
  </si>
  <si>
    <t>Chăm sóc lần 2</t>
  </si>
  <si>
    <t>Chú thích:</t>
  </si>
  <si>
    <t>Ghi chú</t>
  </si>
  <si>
    <t>Chăm sóc lần 3</t>
  </si>
  <si>
    <t>Mật độ: 1660 cây/ha</t>
  </si>
  <si>
    <t>Lần 1</t>
  </si>
  <si>
    <t>Lần 2</t>
  </si>
  <si>
    <t>công</t>
  </si>
  <si>
    <t>Xới vun gốc cây trồng</t>
  </si>
  <si>
    <t>Phát dọn thực bì toàn diện</t>
  </si>
  <si>
    <t>Xử lý vật liệu hữu cơ sau phát dọn thực bì</t>
  </si>
  <si>
    <t>Cuốc hố (40x40x40 cm)</t>
  </si>
  <si>
    <t>Vận chuyển và bón phân lượng bón &lt;0,5kg</t>
  </si>
  <si>
    <t xml:space="preserve">Vận chuyển cây con và trồng dặm </t>
  </si>
  <si>
    <t>Thời vụ trồng: Vụ xuân</t>
  </si>
  <si>
    <t>Thiết kế</t>
  </si>
  <si>
    <t>A</t>
  </si>
  <si>
    <t>Phần vật tư</t>
  </si>
  <si>
    <t>Cây giống trồng chính</t>
  </si>
  <si>
    <t>Cây giống trồng dặm</t>
  </si>
  <si>
    <t>Phân bón NPK (0,2 kg/hố)</t>
  </si>
  <si>
    <t>Năm thứ nhất</t>
  </si>
  <si>
    <t>Năm thứ hai</t>
  </si>
  <si>
    <t>Năm thứ ba</t>
  </si>
  <si>
    <t>B</t>
  </si>
  <si>
    <t>Nhân công lao động</t>
  </si>
  <si>
    <t>Lao động trực tiếp</t>
  </si>
  <si>
    <t xml:space="preserve">Năm thứ nhất </t>
  </si>
  <si>
    <t xml:space="preserve">Chăm sóc năm thứ nhất </t>
  </si>
  <si>
    <t xml:space="preserve">Phát chăm sóc </t>
  </si>
  <si>
    <t>Bảo vệ rừng</t>
  </si>
  <si>
    <t xml:space="preserve">Năm thứ hai </t>
  </si>
  <si>
    <t>Lao động gián tiếp</t>
  </si>
  <si>
    <t>Lao động quản lý, giám sát, chỉ đạo kỹ thuật, nghiệm thu hàng năm</t>
  </si>
  <si>
    <t xml:space="preserve">Năm thứ ba </t>
  </si>
  <si>
    <t>Lần 3</t>
  </si>
  <si>
    <t xml:space="preserve">Năm thứ tư </t>
  </si>
  <si>
    <t>Năm thứ năm</t>
  </si>
  <si>
    <t>Năm thứ sáu</t>
  </si>
  <si>
    <t>Năm thứ bẩy</t>
  </si>
  <si>
    <t>Năm thứ tám</t>
  </si>
  <si>
    <t>Năm thứ chín</t>
  </si>
  <si>
    <t>Năm thứ mười</t>
  </si>
  <si>
    <t>Bón phân NPK tỷ lệ 0,2kg/hố</t>
  </si>
  <si>
    <t>Giá thị trường có báo giá kèm theo</t>
  </si>
  <si>
    <t>Định mức áp dụng theo Bảng 5, Mục B, Phần II, Phụ lục I, Thông tư 21/2023/TT-BNNPTNT
Hệ số điều chỉnh định mức áp dụng theo Bảng quy định hệ số điều chỉnh, Phần II, Phụ lục I, Thông tư 21/2023/TT-BNNPTNT.
Đất  trồng rừng áp dụng theo Bảng phân loại đất trồng rừng, Phần II, Phụ lục I, Thông tư 21/2023/TT-BNNPTNT.</t>
  </si>
  <si>
    <t>Bảng định mức lao động gián tiếp, Mục IV, Phần II, Phụ lục I, Thông tư 21/2023/TT-BNNPTNT.</t>
  </si>
  <si>
    <t>Vật tư khác (cuốc, xẻng, dao…)</t>
  </si>
  <si>
    <t>Năm thứ hai (10%)</t>
  </si>
  <si>
    <t>Năm thứ nhất (10%)</t>
  </si>
  <si>
    <t xml:space="preserve">Đơn giá cây giống, phân bón theo giá thị trường </t>
  </si>
  <si>
    <t>DỰ THẢO ĐỊNH MỨC DỰ TOÁN CHI PHÍ TRỒNG, CHĂM SÓC VÀ BẢO VỆ 1 HA RỪNG TRỒNG THAY THẾ CHUYỂN MỤC ĐÍCH SỬ DỤNG RỪNG SANG MỤC ĐÍCH KHÁC TỈNH HÀ NAM</t>
  </si>
  <si>
    <t>Cây giống</t>
  </si>
  <si>
    <t>Cây giống (trồng dặm)</t>
  </si>
  <si>
    <t>Tiêu chuẩn cây giống: Đáp ứng tiêu chuẩn cây giống đối với từng loài cây đã được công nhận.</t>
  </si>
  <si>
    <t>Hệ số khu vực: Theo Quyết định 607/QĐ-UBND ngày 16/4/2021 của UBND tỉnh Hà Nam về việc “Quy định hệ số điều chỉnh tăng thêm tiền lương làm cơ sở xác định chi phí tiền lương, chi phí nhân công trong giá, đơn giá sản phẩm, dịch vụ công sử dụng kinh phí ngân sách nhà nước do doanh nghiệp thực hiện trên địa bàn tỉnh Hà Nam”</t>
  </si>
  <si>
    <t>II</t>
  </si>
  <si>
    <t>III</t>
  </si>
  <si>
    <t>Chi phí dự phòng</t>
  </si>
  <si>
    <t>I</t>
  </si>
  <si>
    <t>Chi phí vật tư và nhân công trồng, chăm sóc và bảo vệ rừng trồng TTCMĐSD (A+B)</t>
  </si>
  <si>
    <t>Tổng chi phí trồng, chăm sóc và trồng rừng TTCMĐSD (I+II)</t>
  </si>
  <si>
    <t xml:space="preserve">Chi phí quản lý </t>
  </si>
  <si>
    <t>1.2</t>
  </si>
  <si>
    <t>Khoản 3, Điều 5, Thông tư 15/2019/TT-BNNPTNT</t>
  </si>
  <si>
    <t>Khoản 6, Điều 5, Thông tư 15/2019/TT-BNNPTNT</t>
  </si>
  <si>
    <t>Mức lương cơ sở thực hiện theo quy định tại Nghị định 73/2024/NĐ-CP ngày 01/07/2024 của Chính phủ: 2.340.000 đồng</t>
  </si>
  <si>
    <t>Loài cây trồng: Cây keo</t>
  </si>
  <si>
    <t>Hệ số khu vực: 0,5</t>
  </si>
  <si>
    <t>Bảng 4, Thông tư 21/2023/TT-BNNPTNT</t>
  </si>
  <si>
    <t>Lao động trồng rừng bảng cấp bậc công việc được quy định tại mục IV, Phần II, Phụ lục I, Thông tư 21/2023/TT-BNNPTNT ngày 15/12/2023: Bậc 4/2,55
Lao động Bảo vệ rừng theo quy định tại thông tư số 17/TT-BLĐTBXH ngày 06/11/2019 của Bộ Lao động: Thuộc nhóm lao động bảo vệ, thừa hành, phục vụ có bậc/hệ số lương: III/2,4.
Lao động thiết kế bảng cấp bậc công việc được quy định tại mục IV, Phần II, Phụ lục I, Thông tư 21/2023/TT-BNNPTNT ngày 15/12/2023: Bậc 4/3,33</t>
  </si>
  <si>
    <t>Vận chuyển cây con và trồng, bầu trên 1,5kg đến 2kg (bầu 18x22)</t>
  </si>
  <si>
    <r>
      <t>CTKT: K</t>
    </r>
    <r>
      <rPr>
        <b/>
        <vertAlign val="subscript"/>
        <sz val="8"/>
        <rFont val="Times New Roman"/>
        <family val="1"/>
      </rPr>
      <t>c2</t>
    </r>
    <r>
      <rPr>
        <b/>
        <sz val="8"/>
        <rFont val="Times New Roman"/>
        <family val="1"/>
      </rPr>
      <t>K</t>
    </r>
    <r>
      <rPr>
        <b/>
        <vertAlign val="subscript"/>
        <sz val="8"/>
        <rFont val="Times New Roman"/>
        <family val="1"/>
      </rPr>
      <t>t2</t>
    </r>
    <r>
      <rPr>
        <b/>
        <sz val="8"/>
        <rFont val="Times New Roman"/>
        <family val="1"/>
      </rPr>
      <t>K</t>
    </r>
    <r>
      <rPr>
        <b/>
        <vertAlign val="subscript"/>
        <sz val="8"/>
        <rFont val="Times New Roman"/>
        <family val="1"/>
      </rPr>
      <t>l2</t>
    </r>
    <r>
      <rPr>
        <b/>
        <sz val="8"/>
        <rFont val="Times New Roman"/>
        <family val="1"/>
      </rPr>
      <t>K</t>
    </r>
    <r>
      <rPr>
        <b/>
        <vertAlign val="subscript"/>
        <sz val="8"/>
        <rFont val="Times New Roman"/>
        <family val="1"/>
      </rPr>
      <t>h2</t>
    </r>
    <r>
      <rPr>
        <b/>
        <sz val="8"/>
        <rFont val="Times New Roman"/>
        <family val="1"/>
      </rPr>
      <t>K</t>
    </r>
    <r>
      <rPr>
        <b/>
        <vertAlign val="subscript"/>
        <sz val="8"/>
        <rFont val="Times New Roman"/>
        <family val="1"/>
      </rPr>
      <t>x1</t>
    </r>
    <r>
      <rPr>
        <b/>
        <sz val="8"/>
        <rFont val="Times New Roman"/>
        <family val="1"/>
      </rPr>
      <t>K</t>
    </r>
    <r>
      <rPr>
        <b/>
        <vertAlign val="subscript"/>
        <sz val="8"/>
        <rFont val="Times New Roman"/>
        <family val="1"/>
      </rPr>
      <t>d2</t>
    </r>
  </si>
  <si>
    <r>
      <t>Công thức kỹ thuật: K</t>
    </r>
    <r>
      <rPr>
        <vertAlign val="subscript"/>
        <sz val="8"/>
        <rFont val="Times New Roman"/>
        <family val="1"/>
      </rPr>
      <t>c2</t>
    </r>
    <r>
      <rPr>
        <sz val="8"/>
        <rFont val="Times New Roman"/>
        <family val="1"/>
      </rPr>
      <t>K</t>
    </r>
    <r>
      <rPr>
        <vertAlign val="subscript"/>
        <sz val="8"/>
        <rFont val="Times New Roman"/>
        <family val="1"/>
      </rPr>
      <t>t2</t>
    </r>
    <r>
      <rPr>
        <sz val="8"/>
        <rFont val="Times New Roman"/>
        <family val="1"/>
      </rPr>
      <t>K</t>
    </r>
    <r>
      <rPr>
        <vertAlign val="subscript"/>
        <sz val="8"/>
        <rFont val="Times New Roman"/>
        <family val="1"/>
      </rPr>
      <t>l2</t>
    </r>
    <r>
      <rPr>
        <sz val="8"/>
        <rFont val="Times New Roman"/>
        <family val="1"/>
      </rPr>
      <t>K</t>
    </r>
    <r>
      <rPr>
        <vertAlign val="subscript"/>
        <sz val="8"/>
        <rFont val="Times New Roman"/>
        <family val="1"/>
      </rPr>
      <t>h2</t>
    </r>
    <r>
      <rPr>
        <sz val="8"/>
        <rFont val="Times New Roman"/>
        <family val="1"/>
      </rPr>
      <t>K</t>
    </r>
    <r>
      <rPr>
        <vertAlign val="subscript"/>
        <sz val="8"/>
        <rFont val="Times New Roman"/>
        <family val="1"/>
      </rPr>
      <t>x1</t>
    </r>
    <r>
      <rPr>
        <sz val="8"/>
        <rFont val="Times New Roman"/>
        <family val="1"/>
      </rPr>
      <t>K</t>
    </r>
    <r>
      <rPr>
        <vertAlign val="subscript"/>
        <sz val="8"/>
        <rFont val="Times New Roman"/>
        <family val="1"/>
      </rPr>
      <t>d2</t>
    </r>
    <r>
      <rPr>
        <vertAlign val="superscript"/>
        <sz val="8"/>
        <rFont val="Times New Roman"/>
        <family val="1"/>
      </rPr>
      <t xml:space="preserve"> </t>
    </r>
    <r>
      <rPr>
        <sz val="8"/>
        <rFont val="Times New Roman"/>
        <family val="1"/>
      </rPr>
      <t>: Đất nhóm 2, Thực bì nhóm 2, Cự ly di chuyển 1-2km, Hố kích thước 40x40x40 cm, Đường kính xới cây thân gỗ &lt;0,8m, Độ dốc 20-25</t>
    </r>
    <r>
      <rPr>
        <vertAlign val="superscript"/>
        <sz val="8"/>
        <rFont val="Times New Roman"/>
        <family val="1"/>
      </rPr>
      <t>0</t>
    </r>
    <r>
      <rPr>
        <sz val="8"/>
        <rFont val="Times New Roman"/>
        <family val="1"/>
      </rPr>
      <t xml:space="preserve"> </t>
    </r>
  </si>
  <si>
    <r>
      <t>Điều kiện áp dụng: 
Hệ số 1,0 cho: nhóm đất 2; thực bì phá vỡ nhóm 2; kích thước hố (40x40x40cm) .
Hệ số 1,0 cho cự ly di chuyển 1-2km.
Hệ số 1,0 cho đường kính xới chăm sóc (&lt;0,8m)
Hệ số 1,0 cho độ dốc 20 - 25</t>
    </r>
    <r>
      <rPr>
        <vertAlign val="superscript"/>
        <sz val="8"/>
        <color theme="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</si>
</sst>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_(* \(#,##0.00\);_(* &quot;-&quot;??_);_(@_)"/>
    <numFmt numFmtId="165" formatCode="_(* #,##0.0_);_(* \(#,##0.0\);_(* &quot;-&quot;??_);_(@_)"/>
    <numFmt numFmtId="166" formatCode="#,##0.0"/>
    <numFmt numFmtId="167" formatCode="_(* #,##0.00_);_(* \(#,##0.00\);_(* &quot;-&quot;&quot;?&quot;&quot;?&quot;_);_(@_)"/>
    <numFmt numFmtId="168" formatCode="_-* #,##0\ _₫_-;\-* #,##0\ _₫_-;_-* &quot;-&quot;??\ _₫_-;_-@_-"/>
  </numFmts>
  <fonts count="26" x14ac:knownFonts="1">
    <font>
      <sz val="11"/>
      <color theme="1"/>
      <name val="Calibri"/>
      <family val="2"/>
      <scheme val="minor"/>
    </font>
    <font>
      <sz val="12"/>
      <name val="Arial"/>
      <family val="2"/>
    </font>
    <font>
      <sz val="12"/>
      <name val="Arial"/>
      <family val="2"/>
    </font>
    <font>
      <sz val="11"/>
      <color theme="1"/>
      <name val="Calibri"/>
      <family val="2"/>
      <scheme val="minor"/>
    </font>
    <font>
      <sz val="11"/>
      <name val="Calibri"/>
      <family val="2"/>
      <scheme val="minor"/>
    </font>
    <font>
      <b/>
      <sz val="11"/>
      <name val="Calibri"/>
      <family val="2"/>
      <scheme val="minor"/>
    </font>
    <font>
      <b/>
      <i/>
      <sz val="11"/>
      <name val="Calibri"/>
      <family val="2"/>
      <scheme val="minor"/>
    </font>
    <font>
      <sz val="12"/>
      <name val="Arial"/>
      <family val="2"/>
    </font>
    <font>
      <b/>
      <sz val="11"/>
      <color rgb="FF002060"/>
      <name val="Calibri"/>
      <family val="2"/>
      <scheme val="minor"/>
    </font>
    <font>
      <sz val="11"/>
      <color rgb="FF002060"/>
      <name val="Calibri"/>
      <family val="2"/>
      <scheme val="minor"/>
    </font>
    <font>
      <b/>
      <i/>
      <sz val="11"/>
      <color rgb="FF002060"/>
      <name val="Calibri"/>
      <family val="2"/>
      <scheme val="minor"/>
    </font>
    <font>
      <i/>
      <sz val="11"/>
      <name val="Calibri"/>
      <family val="2"/>
      <scheme val="minor"/>
    </font>
    <font>
      <sz val="8"/>
      <name val="Times New Roman"/>
      <family val="1"/>
    </font>
    <font>
      <b/>
      <sz val="8"/>
      <color theme="1"/>
      <name val="Times New Roman"/>
      <family val="1"/>
    </font>
    <font>
      <sz val="8"/>
      <name val="Calibri"/>
      <family val="2"/>
      <scheme val="minor"/>
    </font>
    <font>
      <b/>
      <sz val="8"/>
      <name val="Times New Roman"/>
      <family val="1"/>
    </font>
    <font>
      <i/>
      <sz val="8"/>
      <name val="Times New Roman"/>
      <family val="1"/>
    </font>
    <font>
      <b/>
      <i/>
      <sz val="8"/>
      <name val="Times New Roman"/>
      <family val="1"/>
    </font>
    <font>
      <i/>
      <sz val="8"/>
      <name val="Calibri"/>
      <family val="2"/>
      <scheme val="minor"/>
    </font>
    <font>
      <b/>
      <i/>
      <sz val="8"/>
      <name val="Calibri"/>
      <family val="2"/>
      <scheme val="minor"/>
    </font>
    <font>
      <sz val="8"/>
      <color theme="1"/>
      <name val="Times New Roman"/>
      <family val="1"/>
    </font>
    <font>
      <b/>
      <sz val="8"/>
      <name val="Calibri"/>
      <family val="2"/>
      <scheme val="minor"/>
    </font>
    <font>
      <vertAlign val="subscript"/>
      <sz val="8"/>
      <name val="Times New Roman"/>
      <family val="1"/>
    </font>
    <font>
      <vertAlign val="superscript"/>
      <sz val="8"/>
      <name val="Times New Roman"/>
      <family val="1"/>
    </font>
    <font>
      <b/>
      <vertAlign val="subscript"/>
      <sz val="8"/>
      <name val="Times New Roman"/>
      <family val="1"/>
    </font>
    <font>
      <vertAlign val="superscript"/>
      <sz val="8"/>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0" fontId="1" fillId="0" borderId="0"/>
    <xf numFmtId="164"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7" fillId="0" borderId="0"/>
    <xf numFmtId="167" fontId="1" fillId="0" borderId="0" applyFont="0" applyFill="0" applyBorder="0" applyAlignment="0" applyProtection="0"/>
    <xf numFmtId="167" fontId="1" fillId="0" borderId="0" applyFont="0" applyFill="0" applyBorder="0" applyAlignment="0" applyProtection="0"/>
  </cellStyleXfs>
  <cellXfs count="85">
    <xf numFmtId="0" fontId="0" fillId="0" borderId="0" xfId="0"/>
    <xf numFmtId="0" fontId="5" fillId="0" borderId="0" xfId="0" applyFont="1"/>
    <xf numFmtId="0" fontId="4" fillId="0" borderId="0" xfId="0" applyFont="1"/>
    <xf numFmtId="0" fontId="8" fillId="0" borderId="0" xfId="0" applyFont="1"/>
    <xf numFmtId="0" fontId="9" fillId="0" borderId="0" xfId="0" applyFont="1"/>
    <xf numFmtId="0" fontId="6" fillId="0" borderId="0" xfId="0" applyFont="1"/>
    <xf numFmtId="0" fontId="10" fillId="0" borderId="0" xfId="0" applyFont="1"/>
    <xf numFmtId="0" fontId="5" fillId="3" borderId="0" xfId="0" applyFont="1" applyFill="1"/>
    <xf numFmtId="0" fontId="4" fillId="3" borderId="0" xfId="0" applyFont="1" applyFill="1"/>
    <xf numFmtId="0" fontId="8" fillId="3" borderId="0" xfId="0" applyFont="1" applyFill="1"/>
    <xf numFmtId="0" fontId="11" fillId="0" borderId="0" xfId="0" applyFont="1"/>
    <xf numFmtId="0" fontId="14" fillId="0" borderId="0" xfId="0" applyFont="1"/>
    <xf numFmtId="0" fontId="15" fillId="0" borderId="1" xfId="0" applyFont="1" applyBorder="1" applyAlignment="1">
      <alignment horizontal="center" vertical="center" wrapText="1"/>
    </xf>
    <xf numFmtId="0" fontId="16" fillId="0" borderId="1" xfId="0" quotePrefix="1" applyFont="1" applyBorder="1" applyAlignment="1">
      <alignment horizontal="center" vertical="center"/>
    </xf>
    <xf numFmtId="168" fontId="15" fillId="0" borderId="1" xfId="8" applyNumberFormat="1" applyFont="1" applyFill="1" applyBorder="1" applyAlignment="1">
      <alignment horizontal="right" vertical="center"/>
    </xf>
    <xf numFmtId="0" fontId="14" fillId="0" borderId="1" xfId="0" applyFont="1" applyBorder="1"/>
    <xf numFmtId="168" fontId="17" fillId="0" borderId="1" xfId="8" applyNumberFormat="1" applyFont="1" applyFill="1" applyBorder="1" applyAlignment="1">
      <alignment horizontal="right" vertical="center"/>
    </xf>
    <xf numFmtId="0" fontId="18" fillId="0" borderId="1" xfId="0" applyFont="1" applyBorder="1"/>
    <xf numFmtId="168" fontId="12" fillId="0" borderId="1" xfId="8" applyNumberFormat="1" applyFont="1" applyFill="1" applyBorder="1" applyAlignment="1">
      <alignment horizontal="right" vertical="center"/>
    </xf>
    <xf numFmtId="0" fontId="19" fillId="0" borderId="1" xfId="0" applyFont="1" applyBorder="1"/>
    <xf numFmtId="0" fontId="21" fillId="0" borderId="1" xfId="0" applyFont="1" applyBorder="1"/>
    <xf numFmtId="168" fontId="15" fillId="2" borderId="1" xfId="8" applyNumberFormat="1" applyFont="1" applyFill="1" applyBorder="1" applyAlignment="1">
      <alignment horizontal="right" vertical="center"/>
    </xf>
    <xf numFmtId="0" fontId="14" fillId="2" borderId="1" xfId="0" applyFont="1" applyFill="1" applyBorder="1"/>
    <xf numFmtId="168" fontId="15" fillId="0" borderId="1" xfId="8" applyNumberFormat="1" applyFont="1" applyFill="1" applyBorder="1" applyAlignment="1">
      <alignment horizontal="center" vertical="center"/>
    </xf>
    <xf numFmtId="0" fontId="14" fillId="0" borderId="0" xfId="0" applyFont="1" applyAlignment="1">
      <alignment horizontal="center"/>
    </xf>
    <xf numFmtId="0" fontId="15" fillId="0" borderId="1" xfId="0" applyFont="1" applyBorder="1" applyAlignment="1">
      <alignment horizontal="center" vertical="center"/>
    </xf>
    <xf numFmtId="0" fontId="15" fillId="0" borderId="1" xfId="0" applyFont="1" applyBorder="1" applyAlignment="1">
      <alignment vertical="center" wrapText="1"/>
    </xf>
    <xf numFmtId="4" fontId="15"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4" fontId="17" fillId="0" borderId="1" xfId="0"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3" fontId="12" fillId="0" borderId="1" xfId="0" applyNumberFormat="1" applyFont="1" applyBorder="1" applyAlignment="1">
      <alignment horizontal="center" vertical="center"/>
    </xf>
    <xf numFmtId="3" fontId="12" fillId="0" borderId="1" xfId="0" applyNumberFormat="1" applyFont="1" applyBorder="1" applyAlignment="1">
      <alignment horizontal="right" vertical="center"/>
    </xf>
    <xf numFmtId="0" fontId="12" fillId="0" borderId="1" xfId="0" applyFont="1" applyBorder="1" applyAlignment="1">
      <alignment vertical="center" wrapText="1"/>
    </xf>
    <xf numFmtId="0" fontId="17" fillId="0" borderId="1" xfId="0" applyFont="1" applyBorder="1" applyAlignment="1">
      <alignment vertical="center"/>
    </xf>
    <xf numFmtId="0" fontId="17" fillId="0" borderId="1" xfId="12" applyFont="1" applyBorder="1" applyAlignment="1">
      <alignment horizontal="center" vertical="center" wrapText="1"/>
    </xf>
    <xf numFmtId="3" fontId="17" fillId="0" borderId="1" xfId="0" applyNumberFormat="1" applyFont="1" applyBorder="1" applyAlignment="1">
      <alignment horizontal="center" vertical="center"/>
    </xf>
    <xf numFmtId="3" fontId="17" fillId="0" borderId="1" xfId="0" applyNumberFormat="1" applyFont="1" applyBorder="1" applyAlignment="1">
      <alignment horizontal="right" vertical="center"/>
    </xf>
    <xf numFmtId="0" fontId="12" fillId="0" borderId="1" xfId="12" applyFont="1" applyBorder="1" applyAlignment="1">
      <alignment horizontal="center" vertical="center" wrapText="1"/>
    </xf>
    <xf numFmtId="0" fontId="15" fillId="0" borderId="1" xfId="12" applyFont="1" applyBorder="1" applyAlignment="1">
      <alignment horizontal="center" vertical="center" wrapText="1"/>
    </xf>
    <xf numFmtId="3" fontId="15" fillId="0" borderId="1" xfId="0" applyNumberFormat="1" applyFont="1" applyBorder="1" applyAlignment="1">
      <alignment horizontal="center" vertical="center"/>
    </xf>
    <xf numFmtId="3" fontId="15" fillId="0" borderId="1"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2" borderId="1" xfId="0" applyFont="1" applyFill="1" applyBorder="1" applyAlignment="1">
      <alignment vertical="center" wrapText="1"/>
    </xf>
    <xf numFmtId="4" fontId="12" fillId="2" borderId="1" xfId="0" applyNumberFormat="1" applyFont="1" applyFill="1" applyBorder="1" applyAlignment="1">
      <alignment horizontal="center" vertical="center"/>
    </xf>
    <xf numFmtId="166" fontId="17" fillId="0" borderId="1" xfId="13" applyNumberFormat="1" applyFont="1" applyFill="1" applyBorder="1" applyAlignment="1">
      <alignment horizontal="right" vertical="center"/>
    </xf>
    <xf numFmtId="0" fontId="12" fillId="0" borderId="1" xfId="0" quotePrefix="1" applyFont="1" applyBorder="1" applyAlignment="1">
      <alignment horizontal="center" vertical="center"/>
    </xf>
    <xf numFmtId="4" fontId="12" fillId="0" borderId="1" xfId="0" applyNumberFormat="1" applyFont="1" applyBorder="1" applyAlignment="1">
      <alignment horizontal="center" vertical="center"/>
    </xf>
    <xf numFmtId="0" fontId="17" fillId="0" borderId="1" xfId="0" quotePrefix="1" applyFont="1" applyBorder="1" applyAlignment="1">
      <alignment horizontal="center" vertical="center"/>
    </xf>
    <xf numFmtId="3" fontId="16" fillId="0" borderId="1" xfId="0" applyNumberFormat="1" applyFont="1" applyBorder="1" applyAlignment="1">
      <alignment horizontal="right" vertical="center"/>
    </xf>
    <xf numFmtId="0" fontId="15" fillId="0" borderId="1" xfId="0" quotePrefix="1" applyFont="1" applyBorder="1" applyAlignment="1">
      <alignment horizontal="center" vertical="center"/>
    </xf>
    <xf numFmtId="4" fontId="15" fillId="2" borderId="1" xfId="0" applyNumberFormat="1" applyFont="1" applyFill="1" applyBorder="1" applyAlignment="1">
      <alignment horizontal="center" vertical="center"/>
    </xf>
    <xf numFmtId="0" fontId="15" fillId="2" borderId="1" xfId="0" applyFont="1" applyFill="1" applyBorder="1" applyAlignment="1">
      <alignment vertical="center"/>
    </xf>
    <xf numFmtId="0" fontId="15" fillId="0" borderId="1" xfId="0" applyFont="1" applyBorder="1" applyAlignment="1">
      <alignment vertical="center"/>
    </xf>
    <xf numFmtId="165" fontId="15" fillId="0" borderId="1" xfId="9" applyNumberFormat="1" applyFont="1" applyFill="1" applyBorder="1" applyAlignment="1">
      <alignment horizontal="justify" vertical="center" wrapText="1"/>
    </xf>
    <xf numFmtId="0" fontId="12" fillId="0" borderId="1" xfId="12" applyFont="1" applyBorder="1" applyAlignment="1">
      <alignment horizontal="center" vertical="center"/>
    </xf>
    <xf numFmtId="0" fontId="12" fillId="0" borderId="1" xfId="12" applyFont="1" applyBorder="1" applyAlignment="1">
      <alignment vertical="center"/>
    </xf>
    <xf numFmtId="0" fontId="12" fillId="0" borderId="1" xfId="0" applyFont="1" applyBorder="1"/>
    <xf numFmtId="0" fontId="15" fillId="2" borderId="1" xfId="12" applyFont="1" applyFill="1" applyBorder="1" applyAlignment="1">
      <alignment horizontal="center" vertical="center"/>
    </xf>
    <xf numFmtId="165" fontId="15" fillId="2" borderId="1" xfId="9" applyNumberFormat="1" applyFont="1" applyFill="1" applyBorder="1" applyAlignment="1">
      <alignment horizontal="justify" vertical="center" wrapText="1"/>
    </xf>
    <xf numFmtId="0" fontId="15" fillId="2" borderId="1" xfId="12" applyFont="1" applyFill="1" applyBorder="1" applyAlignment="1">
      <alignment vertical="center"/>
    </xf>
    <xf numFmtId="0" fontId="15" fillId="2" borderId="1" xfId="0" applyFont="1" applyFill="1" applyBorder="1"/>
    <xf numFmtId="4" fontId="5" fillId="3" borderId="0" xfId="0" applyNumberFormat="1" applyFont="1" applyFill="1"/>
    <xf numFmtId="168" fontId="15" fillId="0" borderId="1" xfId="0" quotePrefix="1" applyNumberFormat="1" applyFont="1" applyBorder="1" applyAlignment="1">
      <alignment horizontal="center" vertical="center"/>
    </xf>
    <xf numFmtId="0" fontId="12" fillId="0" borderId="1" xfId="0" applyFont="1" applyBorder="1" applyAlignment="1">
      <alignment horizontal="center" vertical="center" wrapText="1"/>
    </xf>
    <xf numFmtId="0" fontId="15" fillId="0" borderId="1" xfId="12" applyFont="1" applyBorder="1" applyAlignment="1">
      <alignment horizontal="center" vertical="center"/>
    </xf>
    <xf numFmtId="0" fontId="15" fillId="0" borderId="1" xfId="0" applyFont="1" applyBorder="1"/>
    <xf numFmtId="0" fontId="12" fillId="0" borderId="6"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12"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0" xfId="0" applyFont="1" applyAlignment="1">
      <alignment horizontal="left" vertical="center"/>
    </xf>
    <xf numFmtId="0" fontId="15" fillId="0" borderId="0" xfId="12" applyFont="1" applyAlignment="1">
      <alignment horizontal="center" vertical="center" wrapText="1"/>
    </xf>
    <xf numFmtId="0" fontId="12" fillId="0" borderId="0" xfId="12" applyFont="1" applyAlignment="1">
      <alignment horizontal="left" vertical="center" wrapText="1"/>
    </xf>
    <xf numFmtId="0" fontId="15"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2" fillId="0" borderId="0" xfId="12" applyFont="1" applyAlignment="1">
      <alignment vertical="center" wrapText="1"/>
    </xf>
  </cellXfs>
  <cellStyles count="18">
    <cellStyle name="Comma" xfId="8" builtinId="3"/>
    <cellStyle name="Comma 2" xfId="3"/>
    <cellStyle name="Comma 2 2" xfId="9"/>
    <cellStyle name="Comma 2 3" xfId="16"/>
    <cellStyle name="Comma 3" xfId="2"/>
    <cellStyle name="Comma 3 2" xfId="17"/>
    <cellStyle name="Comma 4" xfId="7"/>
    <cellStyle name="Comma 4 2" xfId="13"/>
    <cellStyle name="Normal" xfId="0" builtinId="0"/>
    <cellStyle name="Normal 2" xfId="4"/>
    <cellStyle name="Normal 2 2" xfId="6"/>
    <cellStyle name="Normal 2 2 2" xfId="12"/>
    <cellStyle name="Normal 2 3" xfId="10"/>
    <cellStyle name="Normal 3" xfId="1"/>
    <cellStyle name="Normal 3 2" xfId="15"/>
    <cellStyle name="Normal 4" xfId="5"/>
    <cellStyle name="Normal 4 2" xfId="11"/>
    <cellStyle name="Normal 5"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17"/>
  <sheetViews>
    <sheetView tabSelected="1" view="pageBreakPreview" zoomScale="145" zoomScaleNormal="100" zoomScaleSheetLayoutView="145" workbookViewId="0">
      <selection activeCell="A106" sqref="A106:G106"/>
    </sheetView>
  </sheetViews>
  <sheetFormatPr defaultColWidth="8.7109375" defaultRowHeight="15" x14ac:dyDescent="0.25"/>
  <cols>
    <col min="1" max="1" width="5.5703125" style="11" customWidth="1"/>
    <col min="2" max="2" width="29.5703125" style="11" customWidth="1"/>
    <col min="3" max="3" width="7.7109375" style="11" customWidth="1"/>
    <col min="4" max="4" width="10.5703125" style="24" customWidth="1"/>
    <col min="5" max="5" width="10.28515625" style="11" customWidth="1"/>
    <col min="6" max="6" width="15.5703125" style="24" customWidth="1"/>
    <col min="7" max="7" width="18.85546875" style="11" customWidth="1"/>
    <col min="8" max="16384" width="8.7109375" style="2"/>
  </cols>
  <sheetData>
    <row r="1" spans="1:7" ht="25.5" customHeight="1" x14ac:dyDescent="0.25">
      <c r="A1" s="77" t="s">
        <v>75</v>
      </c>
      <c r="B1" s="77"/>
      <c r="C1" s="77"/>
      <c r="D1" s="77"/>
      <c r="E1" s="77"/>
      <c r="F1" s="77"/>
      <c r="G1" s="77"/>
    </row>
    <row r="2" spans="1:7" ht="22.5" customHeight="1" x14ac:dyDescent="0.25">
      <c r="A2" s="78" t="s">
        <v>97</v>
      </c>
      <c r="B2" s="78"/>
      <c r="C2" s="78"/>
      <c r="D2" s="78"/>
      <c r="E2" s="78"/>
      <c r="F2" s="78"/>
      <c r="G2" s="78"/>
    </row>
    <row r="3" spans="1:7" ht="18" customHeight="1" x14ac:dyDescent="0.25">
      <c r="A3" s="78" t="s">
        <v>91</v>
      </c>
      <c r="B3" s="78"/>
      <c r="C3" s="78"/>
      <c r="D3" s="78"/>
      <c r="E3" s="78"/>
      <c r="F3" s="78"/>
      <c r="G3" s="78"/>
    </row>
    <row r="4" spans="1:7" ht="21.75" customHeight="1" x14ac:dyDescent="0.25">
      <c r="A4" s="78" t="s">
        <v>78</v>
      </c>
      <c r="B4" s="78"/>
      <c r="C4" s="78"/>
      <c r="D4" s="78"/>
      <c r="E4" s="78"/>
      <c r="F4" s="78"/>
      <c r="G4" s="78"/>
    </row>
    <row r="5" spans="1:7" ht="18" customHeight="1" x14ac:dyDescent="0.25">
      <c r="A5" s="78" t="s">
        <v>28</v>
      </c>
      <c r="B5" s="78"/>
      <c r="C5" s="78"/>
      <c r="D5" s="78"/>
      <c r="E5" s="78"/>
      <c r="F5" s="78"/>
      <c r="G5" s="78"/>
    </row>
    <row r="6" spans="1:7" ht="18" customHeight="1" x14ac:dyDescent="0.25">
      <c r="A6" s="78" t="s">
        <v>38</v>
      </c>
      <c r="B6" s="78"/>
      <c r="C6" s="78"/>
      <c r="D6" s="78"/>
      <c r="E6" s="78"/>
      <c r="F6" s="78"/>
      <c r="G6" s="78"/>
    </row>
    <row r="7" spans="1:7" ht="18" customHeight="1" x14ac:dyDescent="0.25">
      <c r="A7" s="78" t="s">
        <v>67</v>
      </c>
      <c r="B7" s="78"/>
      <c r="C7" s="78"/>
      <c r="D7" s="78"/>
      <c r="E7" s="78"/>
      <c r="F7" s="78"/>
      <c r="G7" s="78"/>
    </row>
    <row r="8" spans="1:7" ht="14.25" customHeight="1" x14ac:dyDescent="0.25">
      <c r="A8" s="84" t="s">
        <v>92</v>
      </c>
      <c r="B8" s="84"/>
      <c r="C8" s="84"/>
      <c r="D8" s="84"/>
      <c r="E8" s="84"/>
      <c r="F8" s="84"/>
      <c r="G8" s="84"/>
    </row>
    <row r="9" spans="1:7" x14ac:dyDescent="0.25">
      <c r="A9" s="79" t="s">
        <v>2</v>
      </c>
      <c r="B9" s="79" t="s">
        <v>1</v>
      </c>
      <c r="C9" s="79" t="s">
        <v>14</v>
      </c>
      <c r="D9" s="81" t="s">
        <v>96</v>
      </c>
      <c r="E9" s="82"/>
      <c r="F9" s="83"/>
      <c r="G9" s="79" t="s">
        <v>26</v>
      </c>
    </row>
    <row r="10" spans="1:7" ht="32.25" customHeight="1" x14ac:dyDescent="0.25">
      <c r="A10" s="80"/>
      <c r="B10" s="80"/>
      <c r="C10" s="80"/>
      <c r="D10" s="12" t="s">
        <v>6</v>
      </c>
      <c r="E10" s="12" t="s">
        <v>7</v>
      </c>
      <c r="F10" s="12" t="s">
        <v>15</v>
      </c>
      <c r="G10" s="80"/>
    </row>
    <row r="11" spans="1:7" ht="20.45" customHeight="1" x14ac:dyDescent="0.25">
      <c r="A11" s="13">
        <v>1</v>
      </c>
      <c r="B11" s="13">
        <v>2</v>
      </c>
      <c r="C11" s="13">
        <v>3</v>
      </c>
      <c r="D11" s="13">
        <v>4</v>
      </c>
      <c r="E11" s="13">
        <v>5</v>
      </c>
      <c r="F11" s="13">
        <v>6</v>
      </c>
      <c r="G11" s="13">
        <v>7</v>
      </c>
    </row>
    <row r="12" spans="1:7" s="1" customFormat="1" ht="21" x14ac:dyDescent="0.25">
      <c r="A12" s="52"/>
      <c r="B12" s="26" t="s">
        <v>85</v>
      </c>
      <c r="C12" s="52"/>
      <c r="D12" s="52"/>
      <c r="E12" s="52"/>
      <c r="F12" s="65">
        <f>F13+F100+F101</f>
        <v>162907850.863296</v>
      </c>
      <c r="G12" s="52"/>
    </row>
    <row r="13" spans="1:7" ht="26.25" customHeight="1" x14ac:dyDescent="0.25">
      <c r="A13" s="25" t="s">
        <v>83</v>
      </c>
      <c r="B13" s="26" t="s">
        <v>84</v>
      </c>
      <c r="C13" s="25"/>
      <c r="D13" s="27"/>
      <c r="E13" s="25"/>
      <c r="F13" s="14">
        <f>F14+F27</f>
        <v>150631392.384</v>
      </c>
      <c r="G13" s="15"/>
    </row>
    <row r="14" spans="1:7" ht="18.75" customHeight="1" x14ac:dyDescent="0.25">
      <c r="A14" s="25" t="s">
        <v>40</v>
      </c>
      <c r="B14" s="26" t="s">
        <v>41</v>
      </c>
      <c r="C14" s="25"/>
      <c r="D14" s="27"/>
      <c r="E14" s="25"/>
      <c r="F14" s="14">
        <f>F15+F17+F22+F26</f>
        <v>29282400</v>
      </c>
      <c r="G14" s="15"/>
    </row>
    <row r="15" spans="1:7" s="10" customFormat="1" ht="18" customHeight="1" x14ac:dyDescent="0.25">
      <c r="A15" s="28">
        <v>1</v>
      </c>
      <c r="B15" s="29" t="s">
        <v>76</v>
      </c>
      <c r="C15" s="28"/>
      <c r="D15" s="38">
        <f>D16</f>
        <v>1660</v>
      </c>
      <c r="E15" s="28"/>
      <c r="F15" s="16">
        <f>SUM(F16:F16)</f>
        <v>16600000</v>
      </c>
      <c r="G15" s="17"/>
    </row>
    <row r="16" spans="1:7" ht="18" customHeight="1" x14ac:dyDescent="0.25">
      <c r="A16" s="25"/>
      <c r="B16" s="31" t="s">
        <v>42</v>
      </c>
      <c r="C16" s="32" t="s">
        <v>10</v>
      </c>
      <c r="D16" s="33">
        <v>1660</v>
      </c>
      <c r="E16" s="34">
        <v>10000</v>
      </c>
      <c r="F16" s="18">
        <f>D16*E16</f>
        <v>16600000</v>
      </c>
      <c r="G16" s="72" t="s">
        <v>68</v>
      </c>
    </row>
    <row r="17" spans="1:7" s="10" customFormat="1" ht="18" customHeight="1" x14ac:dyDescent="0.25">
      <c r="A17" s="28">
        <v>2</v>
      </c>
      <c r="B17" s="29" t="s">
        <v>77</v>
      </c>
      <c r="C17" s="28"/>
      <c r="D17" s="30"/>
      <c r="E17" s="28"/>
      <c r="F17" s="16">
        <f>F18+F20</f>
        <v>3320000</v>
      </c>
      <c r="G17" s="73"/>
    </row>
    <row r="18" spans="1:7" s="10" customFormat="1" ht="18" customHeight="1" x14ac:dyDescent="0.25">
      <c r="A18" s="28" t="s">
        <v>18</v>
      </c>
      <c r="B18" s="35" t="s">
        <v>73</v>
      </c>
      <c r="C18" s="28"/>
      <c r="D18" s="38">
        <f>D19</f>
        <v>166</v>
      </c>
      <c r="E18" s="28"/>
      <c r="F18" s="18">
        <f>SUM(F19:F19)</f>
        <v>1660000</v>
      </c>
      <c r="G18" s="73"/>
    </row>
    <row r="19" spans="1:7" ht="18" customHeight="1" x14ac:dyDescent="0.25">
      <c r="A19" s="25"/>
      <c r="B19" s="31" t="s">
        <v>43</v>
      </c>
      <c r="C19" s="32" t="s">
        <v>10</v>
      </c>
      <c r="D19" s="33">
        <f>D16*10%</f>
        <v>166</v>
      </c>
      <c r="E19" s="34">
        <f>E16</f>
        <v>10000</v>
      </c>
      <c r="F19" s="18">
        <f>D19*E19</f>
        <v>1660000</v>
      </c>
      <c r="G19" s="73"/>
    </row>
    <row r="20" spans="1:7" ht="18" customHeight="1" x14ac:dyDescent="0.25">
      <c r="A20" s="28" t="s">
        <v>18</v>
      </c>
      <c r="B20" s="35" t="s">
        <v>72</v>
      </c>
      <c r="C20" s="32"/>
      <c r="D20" s="33">
        <f>D21</f>
        <v>166</v>
      </c>
      <c r="E20" s="34"/>
      <c r="F20" s="18">
        <f>SUM(F21:F21)</f>
        <v>1660000</v>
      </c>
      <c r="G20" s="73"/>
    </row>
    <row r="21" spans="1:7" ht="18" customHeight="1" x14ac:dyDescent="0.25">
      <c r="A21" s="25"/>
      <c r="B21" s="31" t="s">
        <v>43</v>
      </c>
      <c r="C21" s="32" t="s">
        <v>10</v>
      </c>
      <c r="D21" s="33">
        <f>D16*10%</f>
        <v>166</v>
      </c>
      <c r="E21" s="34">
        <f>E16</f>
        <v>10000</v>
      </c>
      <c r="F21" s="18">
        <f>D21*E21</f>
        <v>1660000</v>
      </c>
      <c r="G21" s="73"/>
    </row>
    <row r="22" spans="1:7" s="5" customFormat="1" ht="18" customHeight="1" x14ac:dyDescent="0.25">
      <c r="A22" s="28">
        <v>3</v>
      </c>
      <c r="B22" s="36" t="s">
        <v>44</v>
      </c>
      <c r="C22" s="37"/>
      <c r="D22" s="38">
        <f>+D23+D24+D25</f>
        <v>996</v>
      </c>
      <c r="E22" s="39"/>
      <c r="F22" s="16">
        <f>SUM(F23:F25)</f>
        <v>7968000</v>
      </c>
      <c r="G22" s="19"/>
    </row>
    <row r="23" spans="1:7" ht="18" customHeight="1" x14ac:dyDescent="0.25">
      <c r="A23" s="25"/>
      <c r="B23" s="35" t="s">
        <v>45</v>
      </c>
      <c r="C23" s="40" t="s">
        <v>21</v>
      </c>
      <c r="D23" s="33">
        <f>0.2*1660</f>
        <v>332</v>
      </c>
      <c r="E23" s="34">
        <v>8000</v>
      </c>
      <c r="F23" s="18">
        <f>D23*E23</f>
        <v>2656000</v>
      </c>
      <c r="G23" s="72" t="s">
        <v>68</v>
      </c>
    </row>
    <row r="24" spans="1:7" ht="18" customHeight="1" x14ac:dyDescent="0.25">
      <c r="A24" s="25"/>
      <c r="B24" s="35" t="s">
        <v>46</v>
      </c>
      <c r="C24" s="40" t="s">
        <v>21</v>
      </c>
      <c r="D24" s="33">
        <f>0.2*1660</f>
        <v>332</v>
      </c>
      <c r="E24" s="34">
        <f>E23</f>
        <v>8000</v>
      </c>
      <c r="F24" s="18">
        <f t="shared" ref="F24:F25" si="0">D24*E24</f>
        <v>2656000</v>
      </c>
      <c r="G24" s="74"/>
    </row>
    <row r="25" spans="1:7" ht="18" customHeight="1" x14ac:dyDescent="0.25">
      <c r="A25" s="25"/>
      <c r="B25" s="35" t="s">
        <v>47</v>
      </c>
      <c r="C25" s="40" t="s">
        <v>21</v>
      </c>
      <c r="D25" s="33">
        <f>0.2*1660</f>
        <v>332</v>
      </c>
      <c r="E25" s="34">
        <f>E23</f>
        <v>8000</v>
      </c>
      <c r="F25" s="18">
        <f t="shared" si="0"/>
        <v>2656000</v>
      </c>
      <c r="G25" s="75"/>
    </row>
    <row r="26" spans="1:7" s="5" customFormat="1" ht="22.5" x14ac:dyDescent="0.25">
      <c r="A26" s="28">
        <v>4</v>
      </c>
      <c r="B26" s="29" t="s">
        <v>71</v>
      </c>
      <c r="C26" s="37" t="s">
        <v>16</v>
      </c>
      <c r="D26" s="38">
        <v>5</v>
      </c>
      <c r="E26" s="39"/>
      <c r="F26" s="16">
        <f>(F15+F17+F22)*5%</f>
        <v>1394400</v>
      </c>
      <c r="G26" s="69" t="s">
        <v>93</v>
      </c>
    </row>
    <row r="27" spans="1:7" s="1" customFormat="1" ht="18" customHeight="1" x14ac:dyDescent="0.25">
      <c r="A27" s="25" t="s">
        <v>48</v>
      </c>
      <c r="B27" s="26" t="s">
        <v>49</v>
      </c>
      <c r="C27" s="41"/>
      <c r="D27" s="27">
        <f>D29+D50+D65+D79+D83+D86+D92+D89+D95+D98</f>
        <v>394.21712000000002</v>
      </c>
      <c r="E27" s="43"/>
      <c r="F27" s="14">
        <f>F28+F49+F64+F78+F82+F85+F88+F91+F94+F97</f>
        <v>121348992.38400002</v>
      </c>
      <c r="G27" s="20"/>
    </row>
    <row r="28" spans="1:7" s="8" customFormat="1" ht="21" customHeight="1" x14ac:dyDescent="0.25">
      <c r="A28" s="44">
        <v>1</v>
      </c>
      <c r="B28" s="45" t="s">
        <v>51</v>
      </c>
      <c r="C28" s="44"/>
      <c r="D28" s="46"/>
      <c r="E28" s="44"/>
      <c r="F28" s="21">
        <f>F29+F46</f>
        <v>63693382.977000013</v>
      </c>
      <c r="G28" s="22"/>
    </row>
    <row r="29" spans="1:7" s="8" customFormat="1" ht="21" customHeight="1" x14ac:dyDescent="0.25">
      <c r="A29" s="25" t="s">
        <v>13</v>
      </c>
      <c r="B29" s="26" t="s">
        <v>50</v>
      </c>
      <c r="C29" s="25"/>
      <c r="D29" s="27">
        <f>D30+D37+D45</f>
        <v>202.91486</v>
      </c>
      <c r="E29" s="25"/>
      <c r="F29" s="14">
        <f>F30+F37+F45</f>
        <v>55700129.070000008</v>
      </c>
      <c r="G29" s="15"/>
    </row>
    <row r="30" spans="1:7" s="5" customFormat="1" x14ac:dyDescent="0.25">
      <c r="A30" s="28" t="s">
        <v>4</v>
      </c>
      <c r="B30" s="29" t="s">
        <v>3</v>
      </c>
      <c r="C30" s="28" t="s">
        <v>8</v>
      </c>
      <c r="D30" s="30">
        <f>SUM(D31:D36)</f>
        <v>131.8006</v>
      </c>
      <c r="E30" s="47"/>
      <c r="F30" s="16">
        <f>SUM(F31:F36)</f>
        <v>36179264.700000003</v>
      </c>
      <c r="G30" s="19"/>
    </row>
    <row r="31" spans="1:7" x14ac:dyDescent="0.25">
      <c r="A31" s="48" t="s">
        <v>18</v>
      </c>
      <c r="B31" s="35" t="s">
        <v>33</v>
      </c>
      <c r="C31" s="32" t="s">
        <v>8</v>
      </c>
      <c r="D31" s="49">
        <f>(2.59*10)*(1*1*1*1)</f>
        <v>25.9</v>
      </c>
      <c r="E31" s="34">
        <f t="shared" ref="E31:E36" si="1">(2.55+0.5)*2340000/26</f>
        <v>274500</v>
      </c>
      <c r="F31" s="18">
        <f>D31*E31</f>
        <v>7109550</v>
      </c>
      <c r="G31" s="72" t="s">
        <v>69</v>
      </c>
    </row>
    <row r="32" spans="1:7" x14ac:dyDescent="0.25">
      <c r="A32" s="48" t="s">
        <v>18</v>
      </c>
      <c r="B32" s="35" t="s">
        <v>34</v>
      </c>
      <c r="C32" s="32" t="s">
        <v>8</v>
      </c>
      <c r="D32" s="49">
        <f>1.06*10*(1*1*1*1)</f>
        <v>10.600000000000001</v>
      </c>
      <c r="E32" s="34">
        <f t="shared" si="1"/>
        <v>274500</v>
      </c>
      <c r="F32" s="18">
        <f t="shared" ref="F32:F36" si="2">D32*E32</f>
        <v>2909700.0000000005</v>
      </c>
      <c r="G32" s="74"/>
    </row>
    <row r="33" spans="1:7" x14ac:dyDescent="0.25">
      <c r="A33" s="48" t="s">
        <v>18</v>
      </c>
      <c r="B33" s="35" t="s">
        <v>35</v>
      </c>
      <c r="C33" s="32" t="s">
        <v>8</v>
      </c>
      <c r="D33" s="49">
        <f>(15.38*1660/1000)*1*1*1*1</f>
        <v>25.530800000000003</v>
      </c>
      <c r="E33" s="34">
        <f t="shared" si="1"/>
        <v>274500</v>
      </c>
      <c r="F33" s="18">
        <f t="shared" si="2"/>
        <v>7008204.6000000006</v>
      </c>
      <c r="G33" s="74"/>
    </row>
    <row r="34" spans="1:7" x14ac:dyDescent="0.25">
      <c r="A34" s="48" t="s">
        <v>18</v>
      </c>
      <c r="B34" s="35" t="s">
        <v>9</v>
      </c>
      <c r="C34" s="32" t="s">
        <v>8</v>
      </c>
      <c r="D34" s="49">
        <f>(4.9*1660/1000)*1*1*1*1</f>
        <v>8.1340000000000003</v>
      </c>
      <c r="E34" s="34">
        <f t="shared" si="1"/>
        <v>274500</v>
      </c>
      <c r="F34" s="18">
        <f t="shared" si="2"/>
        <v>2232783</v>
      </c>
      <c r="G34" s="74"/>
    </row>
    <row r="35" spans="1:7" ht="21" customHeight="1" x14ac:dyDescent="0.25">
      <c r="A35" s="48" t="s">
        <v>18</v>
      </c>
      <c r="B35" s="35" t="s">
        <v>36</v>
      </c>
      <c r="C35" s="40" t="s">
        <v>8</v>
      </c>
      <c r="D35" s="49">
        <f>(5.88*1660/1000)*1*1*1</f>
        <v>9.7607999999999997</v>
      </c>
      <c r="E35" s="34">
        <f t="shared" si="1"/>
        <v>274500</v>
      </c>
      <c r="F35" s="18">
        <f>D35*E35</f>
        <v>2679339.6</v>
      </c>
      <c r="G35" s="74"/>
    </row>
    <row r="36" spans="1:7" ht="22.5" x14ac:dyDescent="0.25">
      <c r="A36" s="48" t="s">
        <v>18</v>
      </c>
      <c r="B36" s="35" t="s">
        <v>95</v>
      </c>
      <c r="C36" s="32" t="s">
        <v>8</v>
      </c>
      <c r="D36" s="49">
        <f>(31.25*1660/1000)*1*1*1</f>
        <v>51.875</v>
      </c>
      <c r="E36" s="34">
        <f t="shared" si="1"/>
        <v>274500</v>
      </c>
      <c r="F36" s="18">
        <f t="shared" si="2"/>
        <v>14239687.5</v>
      </c>
      <c r="G36" s="74"/>
    </row>
    <row r="37" spans="1:7" s="5" customFormat="1" ht="19.5" customHeight="1" x14ac:dyDescent="0.25">
      <c r="A37" s="50" t="s">
        <v>5</v>
      </c>
      <c r="B37" s="29" t="s">
        <v>52</v>
      </c>
      <c r="C37" s="28" t="s">
        <v>8</v>
      </c>
      <c r="D37" s="30">
        <f>+D38+D42</f>
        <v>63.83426</v>
      </c>
      <c r="E37" s="51"/>
      <c r="F37" s="16">
        <f>F38+F42</f>
        <v>17522504.370000001</v>
      </c>
      <c r="G37" s="74"/>
    </row>
    <row r="38" spans="1:7" ht="18" customHeight="1" x14ac:dyDescent="0.25">
      <c r="A38" s="48" t="s">
        <v>18</v>
      </c>
      <c r="B38" s="35" t="s">
        <v>29</v>
      </c>
      <c r="C38" s="32"/>
      <c r="D38" s="49">
        <f>SUM(D39:D41)</f>
        <v>42.112659999999998</v>
      </c>
      <c r="E38" s="34"/>
      <c r="F38" s="18">
        <f>SUM(F39:F41)</f>
        <v>11559925.17</v>
      </c>
      <c r="G38" s="74"/>
    </row>
    <row r="39" spans="1:7" s="1" customFormat="1" ht="18" customHeight="1" x14ac:dyDescent="0.25">
      <c r="A39" s="32" t="s">
        <v>23</v>
      </c>
      <c r="B39" s="35" t="s">
        <v>53</v>
      </c>
      <c r="C39" s="32" t="s">
        <v>8</v>
      </c>
      <c r="D39" s="49">
        <f>(1.58*10000)*(1*1*1)/1000</f>
        <v>15.8</v>
      </c>
      <c r="E39" s="34">
        <f>(2.55+0.5)*2340000/26</f>
        <v>274500</v>
      </c>
      <c r="F39" s="18">
        <f>D39*E39</f>
        <v>4337100</v>
      </c>
      <c r="G39" s="74"/>
    </row>
    <row r="40" spans="1:7" s="1" customFormat="1" ht="18" customHeight="1" x14ac:dyDescent="0.25">
      <c r="A40" s="32" t="s">
        <v>0</v>
      </c>
      <c r="B40" s="35" t="s">
        <v>32</v>
      </c>
      <c r="C40" s="32" t="s">
        <v>8</v>
      </c>
      <c r="D40" s="49">
        <f>(6.76*1660/1000)*1*1*1</f>
        <v>11.2216</v>
      </c>
      <c r="E40" s="34">
        <f>(2.55+0.5)*2340000/26</f>
        <v>274500</v>
      </c>
      <c r="F40" s="18">
        <f>D40*E40</f>
        <v>3080329.2</v>
      </c>
      <c r="G40" s="74"/>
    </row>
    <row r="41" spans="1:7" s="1" customFormat="1" ht="18.75" customHeight="1" x14ac:dyDescent="0.25">
      <c r="A41" s="32" t="s">
        <v>23</v>
      </c>
      <c r="B41" s="35" t="s">
        <v>37</v>
      </c>
      <c r="C41" s="32" t="s">
        <v>31</v>
      </c>
      <c r="D41" s="49">
        <f>(90.91*166/1000)*1*1*1</f>
        <v>15.091059999999999</v>
      </c>
      <c r="E41" s="34">
        <f>(2.55+0.5)*2340000/26</f>
        <v>274500</v>
      </c>
      <c r="F41" s="18">
        <f>D41*E41</f>
        <v>4142495.9699999997</v>
      </c>
      <c r="G41" s="74"/>
    </row>
    <row r="42" spans="1:7" ht="18" customHeight="1" x14ac:dyDescent="0.25">
      <c r="A42" s="32" t="s">
        <v>18</v>
      </c>
      <c r="B42" s="35" t="s">
        <v>30</v>
      </c>
      <c r="C42" s="32"/>
      <c r="D42" s="49">
        <f>SUM(D43:D44)</f>
        <v>21.721600000000002</v>
      </c>
      <c r="E42" s="34"/>
      <c r="F42" s="18">
        <f>SUM(F43:F44)</f>
        <v>5962579.2000000002</v>
      </c>
      <c r="G42" s="74"/>
    </row>
    <row r="43" spans="1:7" s="1" customFormat="1" ht="18" customHeight="1" x14ac:dyDescent="0.25">
      <c r="A43" s="32" t="s">
        <v>23</v>
      </c>
      <c r="B43" s="35" t="s">
        <v>53</v>
      </c>
      <c r="C43" s="32" t="s">
        <v>8</v>
      </c>
      <c r="D43" s="49">
        <f>(1.05*10)*(1*1*1)</f>
        <v>10.5</v>
      </c>
      <c r="E43" s="34">
        <f>(2.55+0.5)*2340000/26</f>
        <v>274500</v>
      </c>
      <c r="F43" s="18">
        <f>D43*E43</f>
        <v>2882250</v>
      </c>
      <c r="G43" s="74"/>
    </row>
    <row r="44" spans="1:7" s="1" customFormat="1" ht="18" customHeight="1" x14ac:dyDescent="0.25">
      <c r="A44" s="32" t="s">
        <v>23</v>
      </c>
      <c r="B44" s="35" t="s">
        <v>32</v>
      </c>
      <c r="C44" s="32" t="s">
        <v>8</v>
      </c>
      <c r="D44" s="49">
        <f>(6.76*1660/1000)*1*1*1</f>
        <v>11.2216</v>
      </c>
      <c r="E44" s="34">
        <f>(2.55+0.5)*2340000/26</f>
        <v>274500</v>
      </c>
      <c r="F44" s="18">
        <f>D44*E44</f>
        <v>3080329.2</v>
      </c>
      <c r="G44" s="74"/>
    </row>
    <row r="45" spans="1:7" s="5" customFormat="1" ht="18" customHeight="1" x14ac:dyDescent="0.25">
      <c r="A45" s="50" t="s">
        <v>17</v>
      </c>
      <c r="B45" s="29" t="s">
        <v>54</v>
      </c>
      <c r="C45" s="28" t="s">
        <v>8</v>
      </c>
      <c r="D45" s="30">
        <v>7.28</v>
      </c>
      <c r="E45" s="39">
        <f>(2.55+0.5)*2340000/26</f>
        <v>274500</v>
      </c>
      <c r="F45" s="16">
        <f>D45*E45</f>
        <v>1998360</v>
      </c>
      <c r="G45" s="74"/>
    </row>
    <row r="46" spans="1:7" s="1" customFormat="1" ht="18" customHeight="1" x14ac:dyDescent="0.25">
      <c r="A46" s="52" t="s">
        <v>87</v>
      </c>
      <c r="B46" s="26" t="s">
        <v>56</v>
      </c>
      <c r="C46" s="25"/>
      <c r="D46" s="27"/>
      <c r="E46" s="43"/>
      <c r="F46" s="14">
        <f>F47+F48</f>
        <v>7993253.9070000015</v>
      </c>
      <c r="G46" s="74"/>
    </row>
    <row r="47" spans="1:7" ht="18" customHeight="1" x14ac:dyDescent="0.25">
      <c r="A47" s="48" t="s">
        <v>4</v>
      </c>
      <c r="B47" s="35" t="s">
        <v>39</v>
      </c>
      <c r="C47" s="32" t="s">
        <v>8</v>
      </c>
      <c r="D47" s="49">
        <v>7.03</v>
      </c>
      <c r="E47" s="34">
        <f>(3.33+0.5)*2340000/26</f>
        <v>344700</v>
      </c>
      <c r="F47" s="18">
        <f>D47*E47</f>
        <v>2423241</v>
      </c>
      <c r="G47" s="74"/>
    </row>
    <row r="48" spans="1:7" ht="23.25" customHeight="1" x14ac:dyDescent="0.25">
      <c r="A48" s="48" t="s">
        <v>5</v>
      </c>
      <c r="B48" s="35" t="s">
        <v>57</v>
      </c>
      <c r="C48" s="32" t="s">
        <v>8</v>
      </c>
      <c r="D48" s="49"/>
      <c r="E48" s="34"/>
      <c r="F48" s="18">
        <f>F29*10%</f>
        <v>5570012.9070000015</v>
      </c>
      <c r="G48" s="74"/>
    </row>
    <row r="49" spans="1:7" s="9" customFormat="1" ht="18" customHeight="1" x14ac:dyDescent="0.25">
      <c r="A49" s="44">
        <v>2</v>
      </c>
      <c r="B49" s="45" t="s">
        <v>55</v>
      </c>
      <c r="C49" s="44"/>
      <c r="D49" s="53"/>
      <c r="E49" s="54"/>
      <c r="F49" s="21">
        <f>F50+F63</f>
        <v>30979061.486999996</v>
      </c>
      <c r="G49" s="74"/>
    </row>
    <row r="50" spans="1:7" s="9" customFormat="1" ht="18" customHeight="1" x14ac:dyDescent="0.25">
      <c r="A50" s="25" t="s">
        <v>11</v>
      </c>
      <c r="B50" s="26" t="s">
        <v>50</v>
      </c>
      <c r="C50" s="25"/>
      <c r="D50" s="27">
        <f>D51+D56+D59+D62</f>
        <v>102.59665999999999</v>
      </c>
      <c r="E50" s="55"/>
      <c r="F50" s="14">
        <f>F51+F56+F59+F62</f>
        <v>28162783.169999998</v>
      </c>
      <c r="G50" s="74"/>
    </row>
    <row r="51" spans="1:7" s="3" customFormat="1" ht="18" customHeight="1" x14ac:dyDescent="0.25">
      <c r="A51" s="25" t="s">
        <v>18</v>
      </c>
      <c r="B51" s="29" t="s">
        <v>29</v>
      </c>
      <c r="C51" s="25" t="s">
        <v>8</v>
      </c>
      <c r="D51" s="27">
        <f>SUM(D52:D55)</f>
        <v>51.873459999999994</v>
      </c>
      <c r="E51" s="34"/>
      <c r="F51" s="14">
        <f>SUM(F52:F55)</f>
        <v>14239264.77</v>
      </c>
      <c r="G51" s="74"/>
    </row>
    <row r="52" spans="1:7" s="4" customFormat="1" ht="18" customHeight="1" x14ac:dyDescent="0.25">
      <c r="A52" s="48" t="s">
        <v>0</v>
      </c>
      <c r="B52" s="35" t="s">
        <v>53</v>
      </c>
      <c r="C52" s="32" t="s">
        <v>8</v>
      </c>
      <c r="D52" s="49">
        <f>(1.58*10)*(1*1*1)</f>
        <v>15.8</v>
      </c>
      <c r="E52" s="34">
        <f>(2.55+0.5)*2340000/26</f>
        <v>274500</v>
      </c>
      <c r="F52" s="18">
        <f>D52*E52</f>
        <v>4337100</v>
      </c>
      <c r="G52" s="74"/>
    </row>
    <row r="53" spans="1:7" s="4" customFormat="1" ht="18" customHeight="1" x14ac:dyDescent="0.25">
      <c r="A53" s="32" t="s">
        <v>0</v>
      </c>
      <c r="B53" s="35" t="s">
        <v>32</v>
      </c>
      <c r="C53" s="32" t="s">
        <v>8</v>
      </c>
      <c r="D53" s="49">
        <f>(6.76*1660/1000)*1*1*1</f>
        <v>11.2216</v>
      </c>
      <c r="E53" s="34">
        <f>(2.55+0.5)*2340000/26</f>
        <v>274500</v>
      </c>
      <c r="F53" s="18">
        <f>D53*E53</f>
        <v>3080329.2</v>
      </c>
      <c r="G53" s="74"/>
    </row>
    <row r="54" spans="1:7" s="4" customFormat="1" ht="21.75" customHeight="1" x14ac:dyDescent="0.25">
      <c r="A54" s="48" t="s">
        <v>18</v>
      </c>
      <c r="B54" s="35" t="s">
        <v>36</v>
      </c>
      <c r="C54" s="40" t="s">
        <v>8</v>
      </c>
      <c r="D54" s="49">
        <f>(5.88*1660/1000)*1*1*1</f>
        <v>9.7607999999999997</v>
      </c>
      <c r="E54" s="34">
        <f>(2.55+0.5)*2340000/26</f>
        <v>274500</v>
      </c>
      <c r="F54" s="18">
        <f t="shared" ref="F54:F55" si="3">D54*E54</f>
        <v>2679339.6</v>
      </c>
      <c r="G54" s="74"/>
    </row>
    <row r="55" spans="1:7" s="4" customFormat="1" ht="22.5" customHeight="1" x14ac:dyDescent="0.25">
      <c r="A55" s="48" t="s">
        <v>18</v>
      </c>
      <c r="B55" s="35" t="s">
        <v>37</v>
      </c>
      <c r="C55" s="32" t="s">
        <v>31</v>
      </c>
      <c r="D55" s="49">
        <f>(90.91*166/1000)*1*1*1</f>
        <v>15.091059999999999</v>
      </c>
      <c r="E55" s="34">
        <f>(2.55+0.5)*2340000/26</f>
        <v>274500</v>
      </c>
      <c r="F55" s="18">
        <f t="shared" si="3"/>
        <v>4142495.9699999997</v>
      </c>
      <c r="G55" s="74"/>
    </row>
    <row r="56" spans="1:7" s="6" customFormat="1" ht="18" customHeight="1" x14ac:dyDescent="0.25">
      <c r="A56" s="28" t="s">
        <v>18</v>
      </c>
      <c r="B56" s="29" t="s">
        <v>30</v>
      </c>
      <c r="C56" s="28" t="s">
        <v>8</v>
      </c>
      <c r="D56" s="30">
        <f>SUM(D57:D58)</f>
        <v>21.721600000000002</v>
      </c>
      <c r="E56" s="51"/>
      <c r="F56" s="16">
        <f>SUM(F57:F58)</f>
        <v>5962579.2000000002</v>
      </c>
      <c r="G56" s="74"/>
    </row>
    <row r="57" spans="1:7" s="4" customFormat="1" ht="18" customHeight="1" x14ac:dyDescent="0.25">
      <c r="A57" s="32" t="s">
        <v>23</v>
      </c>
      <c r="B57" s="35" t="s">
        <v>53</v>
      </c>
      <c r="C57" s="32" t="s">
        <v>8</v>
      </c>
      <c r="D57" s="49">
        <f>(1.05*10)*(1*1*1)</f>
        <v>10.5</v>
      </c>
      <c r="E57" s="34">
        <f>(2.55+0.5)*2340000/26</f>
        <v>274500</v>
      </c>
      <c r="F57" s="18">
        <f>D57*E57</f>
        <v>2882250</v>
      </c>
      <c r="G57" s="74"/>
    </row>
    <row r="58" spans="1:7" s="4" customFormat="1" ht="18" customHeight="1" x14ac:dyDescent="0.25">
      <c r="A58" s="32" t="s">
        <v>0</v>
      </c>
      <c r="B58" s="35" t="s">
        <v>32</v>
      </c>
      <c r="C58" s="32" t="s">
        <v>8</v>
      </c>
      <c r="D58" s="49">
        <f>(6.76*1660/1000)*1*1*1</f>
        <v>11.2216</v>
      </c>
      <c r="E58" s="34">
        <f>(2.55+0.5)*2340000/26</f>
        <v>274500</v>
      </c>
      <c r="F58" s="18">
        <f>D58*E58</f>
        <v>3080329.2</v>
      </c>
      <c r="G58" s="74"/>
    </row>
    <row r="59" spans="1:7" s="6" customFormat="1" ht="18" customHeight="1" x14ac:dyDescent="0.25">
      <c r="A59" s="28" t="s">
        <v>18</v>
      </c>
      <c r="B59" s="29" t="s">
        <v>59</v>
      </c>
      <c r="C59" s="28" t="s">
        <v>8</v>
      </c>
      <c r="D59" s="30">
        <f>SUM(D60:D61)</f>
        <v>21.721600000000002</v>
      </c>
      <c r="E59" s="51"/>
      <c r="F59" s="16">
        <f>SUM(F60:F61)</f>
        <v>5962579.2000000002</v>
      </c>
      <c r="G59" s="74"/>
    </row>
    <row r="60" spans="1:7" s="4" customFormat="1" ht="18" customHeight="1" x14ac:dyDescent="0.25">
      <c r="A60" s="32" t="s">
        <v>23</v>
      </c>
      <c r="B60" s="35" t="s">
        <v>53</v>
      </c>
      <c r="C60" s="32" t="s">
        <v>8</v>
      </c>
      <c r="D60" s="49">
        <f>(1.05*10)*(1*1*1)</f>
        <v>10.5</v>
      </c>
      <c r="E60" s="34">
        <f>(2.55+0.5)*2340000/26</f>
        <v>274500</v>
      </c>
      <c r="F60" s="18">
        <f>D60*E60</f>
        <v>2882250</v>
      </c>
      <c r="G60" s="74"/>
    </row>
    <row r="61" spans="1:7" s="4" customFormat="1" ht="18" customHeight="1" x14ac:dyDescent="0.25">
      <c r="A61" s="32" t="s">
        <v>0</v>
      </c>
      <c r="B61" s="35" t="s">
        <v>32</v>
      </c>
      <c r="C61" s="32" t="s">
        <v>8</v>
      </c>
      <c r="D61" s="49">
        <f>(6.76*1660/1000)*1*1*1</f>
        <v>11.2216</v>
      </c>
      <c r="E61" s="34">
        <f>(2.55+0.5)*2340000/26</f>
        <v>274500</v>
      </c>
      <c r="F61" s="18">
        <f t="shared" ref="F61:F62" si="4">D61*E61</f>
        <v>3080329.2</v>
      </c>
      <c r="G61" s="74"/>
    </row>
    <row r="62" spans="1:7" s="6" customFormat="1" ht="18" customHeight="1" x14ac:dyDescent="0.25">
      <c r="A62" s="50" t="s">
        <v>18</v>
      </c>
      <c r="B62" s="29" t="s">
        <v>54</v>
      </c>
      <c r="C62" s="28" t="s">
        <v>8</v>
      </c>
      <c r="D62" s="30">
        <v>7.28</v>
      </c>
      <c r="E62" s="39">
        <f>(2.55+0.5)*2340000/26</f>
        <v>274500</v>
      </c>
      <c r="F62" s="16">
        <f t="shared" si="4"/>
        <v>1998360</v>
      </c>
      <c r="G62" s="74"/>
    </row>
    <row r="63" spans="1:7" s="3" customFormat="1" ht="33" customHeight="1" x14ac:dyDescent="0.25">
      <c r="A63" s="52" t="s">
        <v>12</v>
      </c>
      <c r="B63" s="26" t="s">
        <v>57</v>
      </c>
      <c r="C63" s="25" t="s">
        <v>8</v>
      </c>
      <c r="D63" s="27"/>
      <c r="E63" s="43"/>
      <c r="F63" s="14">
        <f>F50*10%</f>
        <v>2816278.3169999998</v>
      </c>
      <c r="G63" s="74"/>
    </row>
    <row r="64" spans="1:7" s="9" customFormat="1" ht="18" customHeight="1" x14ac:dyDescent="0.25">
      <c r="A64" s="44">
        <v>3</v>
      </c>
      <c r="B64" s="45" t="s">
        <v>58</v>
      </c>
      <c r="C64" s="44"/>
      <c r="D64" s="53"/>
      <c r="E64" s="54"/>
      <c r="F64" s="21">
        <f>F65+F77</f>
        <v>26676547.919999998</v>
      </c>
      <c r="G64" s="74"/>
    </row>
    <row r="65" spans="1:8" s="3" customFormat="1" ht="18" customHeight="1" x14ac:dyDescent="0.25">
      <c r="A65" s="25" t="s">
        <v>19</v>
      </c>
      <c r="B65" s="26" t="s">
        <v>50</v>
      </c>
      <c r="C65" s="25" t="s">
        <v>8</v>
      </c>
      <c r="D65" s="27">
        <f>D66+D70+D73+D76</f>
        <v>88.705600000000004</v>
      </c>
      <c r="E65" s="34"/>
      <c r="F65" s="14">
        <f>F66+F70+F73+F76</f>
        <v>24251407.199999999</v>
      </c>
      <c r="G65" s="74"/>
    </row>
    <row r="66" spans="1:8" s="3" customFormat="1" ht="18" customHeight="1" x14ac:dyDescent="0.25">
      <c r="A66" s="25" t="s">
        <v>18</v>
      </c>
      <c r="B66" s="56" t="s">
        <v>22</v>
      </c>
      <c r="C66" s="25" t="s">
        <v>8</v>
      </c>
      <c r="D66" s="27">
        <f>SUM(D67:D69)</f>
        <v>33.982399999999998</v>
      </c>
      <c r="E66" s="34"/>
      <c r="F66" s="23">
        <f>SUM(F67:F69)</f>
        <v>9328168.8000000007</v>
      </c>
      <c r="G66" s="74"/>
    </row>
    <row r="67" spans="1:8" s="4" customFormat="1" ht="18" customHeight="1" x14ac:dyDescent="0.25">
      <c r="A67" s="32" t="s">
        <v>23</v>
      </c>
      <c r="B67" s="35" t="s">
        <v>53</v>
      </c>
      <c r="C67" s="32" t="s">
        <v>8</v>
      </c>
      <c r="D67" s="49">
        <f>(1.3*10)*(1*1*1)</f>
        <v>13</v>
      </c>
      <c r="E67" s="34">
        <f>(2.55+0.5)*2340000/26</f>
        <v>274500</v>
      </c>
      <c r="F67" s="18">
        <f>D67*E67</f>
        <v>3568500</v>
      </c>
      <c r="G67" s="74"/>
    </row>
    <row r="68" spans="1:8" s="4" customFormat="1" ht="18" customHeight="1" x14ac:dyDescent="0.25">
      <c r="A68" s="32" t="s">
        <v>0</v>
      </c>
      <c r="B68" s="35" t="s">
        <v>32</v>
      </c>
      <c r="C68" s="32" t="s">
        <v>8</v>
      </c>
      <c r="D68" s="49">
        <f>(6.76*1660/1000)*1*1*1</f>
        <v>11.2216</v>
      </c>
      <c r="E68" s="34">
        <f>(2.55+0.5)*2340000/26</f>
        <v>274500</v>
      </c>
      <c r="F68" s="18">
        <f t="shared" ref="F68" si="5">D68*E68</f>
        <v>3080329.2</v>
      </c>
      <c r="G68" s="74"/>
    </row>
    <row r="69" spans="1:8" s="4" customFormat="1" ht="20.25" customHeight="1" x14ac:dyDescent="0.25">
      <c r="A69" s="48" t="s">
        <v>18</v>
      </c>
      <c r="B69" s="35" t="s">
        <v>36</v>
      </c>
      <c r="C69" s="40" t="s">
        <v>8</v>
      </c>
      <c r="D69" s="49">
        <f>(5.88*1660/1000)*1*1</f>
        <v>9.7607999999999997</v>
      </c>
      <c r="E69" s="34">
        <f>(2.55+0.5)*2340000/26</f>
        <v>274500</v>
      </c>
      <c r="F69" s="18">
        <f>D69*E69</f>
        <v>2679339.6</v>
      </c>
      <c r="G69" s="74"/>
    </row>
    <row r="70" spans="1:8" s="3" customFormat="1" ht="18" customHeight="1" x14ac:dyDescent="0.25">
      <c r="A70" s="25" t="s">
        <v>18</v>
      </c>
      <c r="B70" s="26" t="s">
        <v>24</v>
      </c>
      <c r="C70" s="25" t="s">
        <v>8</v>
      </c>
      <c r="D70" s="27">
        <f>SUM(D71:D72)</f>
        <v>23.721600000000002</v>
      </c>
      <c r="E70" s="34"/>
      <c r="F70" s="23">
        <f>SUM(F71:F72)</f>
        <v>6511579.2000000002</v>
      </c>
      <c r="G70" s="74"/>
    </row>
    <row r="71" spans="1:8" s="4" customFormat="1" ht="18" customHeight="1" x14ac:dyDescent="0.25">
      <c r="A71" s="32" t="s">
        <v>23</v>
      </c>
      <c r="B71" s="35" t="s">
        <v>53</v>
      </c>
      <c r="C71" s="32" t="s">
        <v>8</v>
      </c>
      <c r="D71" s="49">
        <f>(1.25*10)*(1*1*1)</f>
        <v>12.5</v>
      </c>
      <c r="E71" s="34">
        <f>(2.55+0.5)*2340000/26</f>
        <v>274500</v>
      </c>
      <c r="F71" s="18">
        <f>D71*E71</f>
        <v>3431250</v>
      </c>
      <c r="G71" s="74"/>
    </row>
    <row r="72" spans="1:8" s="4" customFormat="1" ht="18" customHeight="1" x14ac:dyDescent="0.25">
      <c r="A72" s="32" t="s">
        <v>0</v>
      </c>
      <c r="B72" s="35" t="s">
        <v>32</v>
      </c>
      <c r="C72" s="32" t="s">
        <v>8</v>
      </c>
      <c r="D72" s="49">
        <f>(6.76*1660/1000)*1*1*1</f>
        <v>11.2216</v>
      </c>
      <c r="E72" s="34">
        <f>(2.55+0.5)*2340000/26</f>
        <v>274500</v>
      </c>
      <c r="F72" s="18">
        <f>D72*E72</f>
        <v>3080329.2</v>
      </c>
      <c r="G72" s="74"/>
    </row>
    <row r="73" spans="1:8" s="3" customFormat="1" ht="18" customHeight="1" x14ac:dyDescent="0.25">
      <c r="A73" s="25" t="s">
        <v>18</v>
      </c>
      <c r="B73" s="26" t="s">
        <v>27</v>
      </c>
      <c r="C73" s="25" t="s">
        <v>8</v>
      </c>
      <c r="D73" s="27">
        <f>SUM(D74:D75)</f>
        <v>23.721600000000002</v>
      </c>
      <c r="E73" s="34"/>
      <c r="F73" s="23">
        <f>SUM(F74:F75)</f>
        <v>6511579.2000000002</v>
      </c>
      <c r="G73" s="74"/>
    </row>
    <row r="74" spans="1:8" s="4" customFormat="1" ht="18" customHeight="1" x14ac:dyDescent="0.25">
      <c r="A74" s="32" t="s">
        <v>23</v>
      </c>
      <c r="B74" s="35" t="s">
        <v>53</v>
      </c>
      <c r="C74" s="32" t="s">
        <v>8</v>
      </c>
      <c r="D74" s="49">
        <f>(1.25*10000)*(1*1*1)/1000</f>
        <v>12.5</v>
      </c>
      <c r="E74" s="34">
        <f>(2.55+0.5)*2340000/26</f>
        <v>274500</v>
      </c>
      <c r="F74" s="18">
        <f>D74*E74</f>
        <v>3431250</v>
      </c>
      <c r="G74" s="74"/>
    </row>
    <row r="75" spans="1:8" s="4" customFormat="1" ht="18" customHeight="1" x14ac:dyDescent="0.25">
      <c r="A75" s="32" t="s">
        <v>0</v>
      </c>
      <c r="B75" s="35" t="s">
        <v>32</v>
      </c>
      <c r="C75" s="32" t="s">
        <v>8</v>
      </c>
      <c r="D75" s="49">
        <f>(6.76*1660/1000)*1*1*1</f>
        <v>11.2216</v>
      </c>
      <c r="E75" s="34">
        <f>(2.55+0.5)*2340000/26</f>
        <v>274500</v>
      </c>
      <c r="F75" s="18">
        <f>D75*E75</f>
        <v>3080329.2</v>
      </c>
      <c r="G75" s="74"/>
    </row>
    <row r="76" spans="1:8" s="3" customFormat="1" ht="18" customHeight="1" x14ac:dyDescent="0.25">
      <c r="A76" s="25" t="s">
        <v>18</v>
      </c>
      <c r="B76" s="26" t="s">
        <v>54</v>
      </c>
      <c r="C76" s="25" t="s">
        <v>8</v>
      </c>
      <c r="D76" s="27">
        <v>7.28</v>
      </c>
      <c r="E76" s="43">
        <f>(2.4+0.5)*2340000/26</f>
        <v>261000</v>
      </c>
      <c r="F76" s="14">
        <f>D76*E76</f>
        <v>1900080</v>
      </c>
      <c r="G76" s="75"/>
    </row>
    <row r="77" spans="1:8" s="3" customFormat="1" ht="45.75" customHeight="1" x14ac:dyDescent="0.25">
      <c r="A77" s="52" t="s">
        <v>20</v>
      </c>
      <c r="B77" s="26" t="s">
        <v>57</v>
      </c>
      <c r="C77" s="25" t="s">
        <v>8</v>
      </c>
      <c r="D77" s="27"/>
      <c r="E77" s="43"/>
      <c r="F77" s="14">
        <f>10%*F65</f>
        <v>2425140.7200000002</v>
      </c>
      <c r="G77" s="66" t="s">
        <v>70</v>
      </c>
    </row>
    <row r="78" spans="1:8" s="7" customFormat="1" ht="18" hidden="1" customHeight="1" x14ac:dyDescent="0.25">
      <c r="A78" s="44">
        <v>4</v>
      </c>
      <c r="B78" s="45" t="s">
        <v>60</v>
      </c>
      <c r="C78" s="44"/>
      <c r="D78" s="53"/>
      <c r="E78" s="54"/>
      <c r="F78" s="21">
        <f>SUM(F79:F81)</f>
        <v>0</v>
      </c>
      <c r="G78" s="72"/>
      <c r="H78" s="64"/>
    </row>
    <row r="79" spans="1:8" s="7" customFormat="1" ht="18" hidden="1" customHeight="1" x14ac:dyDescent="0.25">
      <c r="A79" s="57"/>
      <c r="B79" s="58"/>
      <c r="C79" s="40"/>
      <c r="D79" s="49"/>
      <c r="E79" s="34"/>
      <c r="F79" s="18"/>
      <c r="G79" s="74"/>
    </row>
    <row r="80" spans="1:8" s="7" customFormat="1" ht="18" hidden="1" customHeight="1" x14ac:dyDescent="0.25">
      <c r="A80" s="57"/>
      <c r="B80" s="58"/>
      <c r="C80" s="40"/>
      <c r="D80" s="49"/>
      <c r="E80" s="34"/>
      <c r="F80" s="18"/>
      <c r="G80" s="74"/>
    </row>
    <row r="81" spans="1:7" ht="29.25" hidden="1" customHeight="1" x14ac:dyDescent="0.25">
      <c r="A81" s="57"/>
      <c r="B81" s="35"/>
      <c r="C81" s="57"/>
      <c r="D81" s="49"/>
      <c r="E81" s="59"/>
      <c r="F81" s="18"/>
      <c r="G81" s="74"/>
    </row>
    <row r="82" spans="1:7" s="1" customFormat="1" ht="18" hidden="1" customHeight="1" x14ac:dyDescent="0.25">
      <c r="A82" s="60">
        <v>5</v>
      </c>
      <c r="B82" s="61" t="s">
        <v>61</v>
      </c>
      <c r="C82" s="62"/>
      <c r="D82" s="53"/>
      <c r="E82" s="63"/>
      <c r="F82" s="21">
        <f>SUM(F83:F84)</f>
        <v>0</v>
      </c>
      <c r="G82" s="74"/>
    </row>
    <row r="83" spans="1:7" s="1" customFormat="1" ht="18" hidden="1" customHeight="1" x14ac:dyDescent="0.25">
      <c r="A83" s="57"/>
      <c r="B83" s="58"/>
      <c r="C83" s="40"/>
      <c r="D83" s="49"/>
      <c r="E83" s="34"/>
      <c r="F83" s="18"/>
      <c r="G83" s="74"/>
    </row>
    <row r="84" spans="1:7" s="1" customFormat="1" ht="27.75" hidden="1" customHeight="1" x14ac:dyDescent="0.25">
      <c r="A84" s="57"/>
      <c r="B84" s="35"/>
      <c r="C84" s="57"/>
      <c r="D84" s="49"/>
      <c r="E84" s="59"/>
      <c r="F84" s="18"/>
      <c r="G84" s="74"/>
    </row>
    <row r="85" spans="1:7" s="7" customFormat="1" ht="18" hidden="1" customHeight="1" x14ac:dyDescent="0.25">
      <c r="A85" s="60">
        <v>6</v>
      </c>
      <c r="B85" s="61" t="s">
        <v>62</v>
      </c>
      <c r="C85" s="62"/>
      <c r="D85" s="53"/>
      <c r="E85" s="63"/>
      <c r="F85" s="21">
        <f>SUM(F86:F87)</f>
        <v>0</v>
      </c>
      <c r="G85" s="74"/>
    </row>
    <row r="86" spans="1:7" ht="18" hidden="1" customHeight="1" x14ac:dyDescent="0.25">
      <c r="A86" s="57"/>
      <c r="B86" s="58"/>
      <c r="C86" s="40"/>
      <c r="D86" s="49"/>
      <c r="E86" s="34"/>
      <c r="F86" s="18"/>
      <c r="G86" s="74"/>
    </row>
    <row r="87" spans="1:7" ht="28.5" hidden="1" customHeight="1" x14ac:dyDescent="0.25">
      <c r="A87" s="57"/>
      <c r="B87" s="35"/>
      <c r="C87" s="57"/>
      <c r="D87" s="49"/>
      <c r="E87" s="59"/>
      <c r="F87" s="18"/>
      <c r="G87" s="74"/>
    </row>
    <row r="88" spans="1:7" ht="22.5" hidden="1" customHeight="1" x14ac:dyDescent="0.25">
      <c r="A88" s="60">
        <v>7</v>
      </c>
      <c r="B88" s="61" t="s">
        <v>63</v>
      </c>
      <c r="C88" s="62"/>
      <c r="D88" s="53"/>
      <c r="E88" s="63"/>
      <c r="F88" s="21">
        <f>SUM(F89:F90)</f>
        <v>0</v>
      </c>
      <c r="G88" s="74"/>
    </row>
    <row r="89" spans="1:7" ht="22.5" hidden="1" customHeight="1" x14ac:dyDescent="0.25">
      <c r="A89" s="57"/>
      <c r="B89" s="58"/>
      <c r="C89" s="40"/>
      <c r="D89" s="49"/>
      <c r="E89" s="34"/>
      <c r="F89" s="18"/>
      <c r="G89" s="74"/>
    </row>
    <row r="90" spans="1:7" ht="25.5" hidden="1" customHeight="1" x14ac:dyDescent="0.25">
      <c r="A90" s="57"/>
      <c r="B90" s="35"/>
      <c r="C90" s="57"/>
      <c r="D90" s="49"/>
      <c r="E90" s="59"/>
      <c r="F90" s="18"/>
      <c r="G90" s="74"/>
    </row>
    <row r="91" spans="1:7" ht="19.5" hidden="1" customHeight="1" x14ac:dyDescent="0.25">
      <c r="A91" s="60">
        <v>8</v>
      </c>
      <c r="B91" s="61" t="s">
        <v>64</v>
      </c>
      <c r="C91" s="62"/>
      <c r="D91" s="53"/>
      <c r="E91" s="63"/>
      <c r="F91" s="21">
        <f>SUM(F92:F93)</f>
        <v>0</v>
      </c>
      <c r="G91" s="74"/>
    </row>
    <row r="92" spans="1:7" ht="18" hidden="1" customHeight="1" x14ac:dyDescent="0.25">
      <c r="A92" s="57"/>
      <c r="B92" s="58"/>
      <c r="C92" s="40"/>
      <c r="D92" s="49"/>
      <c r="E92" s="34"/>
      <c r="F92" s="18"/>
      <c r="G92" s="74"/>
    </row>
    <row r="93" spans="1:7" s="7" customFormat="1" ht="33.75" hidden="1" customHeight="1" x14ac:dyDescent="0.25">
      <c r="A93" s="57"/>
      <c r="B93" s="35"/>
      <c r="C93" s="57"/>
      <c r="D93" s="49"/>
      <c r="E93" s="59"/>
      <c r="F93" s="18"/>
      <c r="G93" s="74"/>
    </row>
    <row r="94" spans="1:7" s="7" customFormat="1" ht="18" hidden="1" customHeight="1" x14ac:dyDescent="0.25">
      <c r="A94" s="60">
        <v>9</v>
      </c>
      <c r="B94" s="61" t="s">
        <v>65</v>
      </c>
      <c r="C94" s="62"/>
      <c r="D94" s="53"/>
      <c r="E94" s="63"/>
      <c r="F94" s="21">
        <f>SUM(F95:F96)</f>
        <v>0</v>
      </c>
      <c r="G94" s="74"/>
    </row>
    <row r="95" spans="1:7" s="7" customFormat="1" ht="18" hidden="1" customHeight="1" x14ac:dyDescent="0.25">
      <c r="A95" s="57"/>
      <c r="B95" s="58"/>
      <c r="C95" s="40"/>
      <c r="D95" s="49"/>
      <c r="E95" s="34"/>
      <c r="F95" s="18"/>
      <c r="G95" s="74"/>
    </row>
    <row r="96" spans="1:7" s="7" customFormat="1" ht="31.5" hidden="1" customHeight="1" x14ac:dyDescent="0.25">
      <c r="A96" s="57"/>
      <c r="B96" s="35"/>
      <c r="C96" s="57"/>
      <c r="D96" s="49"/>
      <c r="E96" s="59"/>
      <c r="F96" s="18"/>
      <c r="G96" s="74"/>
    </row>
    <row r="97" spans="1:7" s="7" customFormat="1" ht="18" hidden="1" customHeight="1" x14ac:dyDescent="0.25">
      <c r="A97" s="60">
        <v>10</v>
      </c>
      <c r="B97" s="61" t="s">
        <v>66</v>
      </c>
      <c r="C97" s="62"/>
      <c r="D97" s="53"/>
      <c r="E97" s="63"/>
      <c r="F97" s="21">
        <f>SUM(F98:F99)</f>
        <v>0</v>
      </c>
      <c r="G97" s="74"/>
    </row>
    <row r="98" spans="1:7" s="7" customFormat="1" ht="18" hidden="1" customHeight="1" x14ac:dyDescent="0.25">
      <c r="A98" s="57"/>
      <c r="B98" s="58"/>
      <c r="C98" s="40"/>
      <c r="D98" s="49"/>
      <c r="E98" s="34"/>
      <c r="F98" s="18"/>
      <c r="G98" s="74"/>
    </row>
    <row r="99" spans="1:7" s="7" customFormat="1" ht="26.25" hidden="1" customHeight="1" x14ac:dyDescent="0.25">
      <c r="A99" s="57"/>
      <c r="B99" s="35"/>
      <c r="C99" s="57"/>
      <c r="D99" s="49"/>
      <c r="E99" s="59"/>
      <c r="F99" s="18"/>
      <c r="G99" s="75"/>
    </row>
    <row r="100" spans="1:7" s="7" customFormat="1" ht="28.5" customHeight="1" x14ac:dyDescent="0.25">
      <c r="A100" s="67" t="s">
        <v>80</v>
      </c>
      <c r="B100" s="26" t="s">
        <v>86</v>
      </c>
      <c r="C100" s="25" t="s">
        <v>16</v>
      </c>
      <c r="D100" s="42">
        <v>3</v>
      </c>
      <c r="E100" s="68"/>
      <c r="F100" s="14">
        <f>F13*3%</f>
        <v>4518941.77152</v>
      </c>
      <c r="G100" s="69" t="s">
        <v>88</v>
      </c>
    </row>
    <row r="101" spans="1:7" ht="21" customHeight="1" x14ac:dyDescent="0.25">
      <c r="A101" s="67" t="s">
        <v>81</v>
      </c>
      <c r="B101" s="26" t="s">
        <v>82</v>
      </c>
      <c r="C101" s="25" t="s">
        <v>16</v>
      </c>
      <c r="D101" s="42">
        <v>5</v>
      </c>
      <c r="E101" s="20"/>
      <c r="F101" s="14">
        <f>(F13+F100)*5%</f>
        <v>7757516.7077759998</v>
      </c>
      <c r="G101" s="66" t="s">
        <v>89</v>
      </c>
    </row>
    <row r="102" spans="1:7" ht="12" customHeight="1" x14ac:dyDescent="0.25"/>
    <row r="103" spans="1:7" ht="12.75" customHeight="1" x14ac:dyDescent="0.25">
      <c r="A103" s="76" t="s">
        <v>25</v>
      </c>
      <c r="B103" s="76"/>
      <c r="C103" s="76"/>
      <c r="D103" s="76"/>
      <c r="E103" s="76"/>
      <c r="F103" s="76"/>
    </row>
    <row r="104" spans="1:7" ht="15" customHeight="1" x14ac:dyDescent="0.25">
      <c r="A104" s="71" t="s">
        <v>90</v>
      </c>
      <c r="B104" s="71"/>
      <c r="C104" s="71"/>
      <c r="D104" s="71"/>
      <c r="E104" s="71"/>
      <c r="F104" s="71"/>
      <c r="G104" s="71"/>
    </row>
    <row r="105" spans="1:7" ht="58.5" customHeight="1" x14ac:dyDescent="0.25">
      <c r="A105" s="71" t="s">
        <v>98</v>
      </c>
      <c r="B105" s="71"/>
      <c r="C105" s="71"/>
      <c r="D105" s="71"/>
      <c r="E105" s="71"/>
      <c r="F105" s="71"/>
      <c r="G105" s="71"/>
    </row>
    <row r="106" spans="1:7" ht="51" customHeight="1" x14ac:dyDescent="0.25">
      <c r="A106" s="71" t="s">
        <v>94</v>
      </c>
      <c r="B106" s="71"/>
      <c r="C106" s="71"/>
      <c r="D106" s="71"/>
      <c r="E106" s="71"/>
      <c r="F106" s="71"/>
      <c r="G106" s="71"/>
    </row>
    <row r="107" spans="1:7" ht="36" customHeight="1" x14ac:dyDescent="0.25">
      <c r="A107" s="71" t="s">
        <v>79</v>
      </c>
      <c r="B107" s="71"/>
      <c r="C107" s="71"/>
      <c r="D107" s="71"/>
      <c r="E107" s="71"/>
      <c r="F107" s="71"/>
      <c r="G107" s="71"/>
    </row>
    <row r="108" spans="1:7" ht="15" customHeight="1" x14ac:dyDescent="0.25">
      <c r="A108" s="71" t="s">
        <v>74</v>
      </c>
      <c r="B108" s="71"/>
      <c r="C108" s="71"/>
      <c r="D108" s="71"/>
      <c r="E108" s="71"/>
      <c r="F108" s="71"/>
    </row>
    <row r="109" spans="1:7" ht="36.75" customHeight="1" x14ac:dyDescent="0.25">
      <c r="A109" s="70"/>
      <c r="B109" s="70"/>
      <c r="C109" s="70"/>
      <c r="D109" s="70"/>
      <c r="E109" s="70"/>
      <c r="F109" s="70"/>
    </row>
    <row r="110" spans="1:7" x14ac:dyDescent="0.25">
      <c r="A110" s="70"/>
      <c r="B110" s="70"/>
      <c r="C110" s="70"/>
      <c r="D110" s="70"/>
      <c r="E110" s="70"/>
      <c r="F110" s="70"/>
    </row>
    <row r="111" spans="1:7" x14ac:dyDescent="0.25">
      <c r="A111" s="71"/>
      <c r="B111" s="71"/>
      <c r="C111" s="71"/>
      <c r="D111" s="71"/>
      <c r="E111" s="71"/>
      <c r="F111" s="71"/>
    </row>
    <row r="112" spans="1:7" x14ac:dyDescent="0.25">
      <c r="A112" s="71"/>
      <c r="B112" s="71"/>
      <c r="C112" s="71"/>
      <c r="D112" s="71"/>
      <c r="E112" s="71"/>
      <c r="F112" s="71"/>
    </row>
    <row r="113" spans="1:6" x14ac:dyDescent="0.25">
      <c r="A113" s="70"/>
      <c r="B113" s="70"/>
      <c r="C113" s="70"/>
      <c r="D113" s="70"/>
      <c r="E113" s="70"/>
      <c r="F113" s="70"/>
    </row>
    <row r="114" spans="1:6" x14ac:dyDescent="0.25">
      <c r="A114" s="70"/>
      <c r="B114" s="70"/>
      <c r="C114" s="70"/>
      <c r="D114" s="70"/>
      <c r="E114" s="70"/>
      <c r="F114" s="70"/>
    </row>
    <row r="115" spans="1:6" x14ac:dyDescent="0.25">
      <c r="A115" s="70"/>
      <c r="B115" s="70"/>
      <c r="C115" s="70"/>
      <c r="D115" s="70"/>
      <c r="E115" s="70"/>
      <c r="F115" s="70"/>
    </row>
    <row r="116" spans="1:6" x14ac:dyDescent="0.25">
      <c r="A116" s="70"/>
      <c r="B116" s="70"/>
      <c r="C116" s="70"/>
      <c r="D116" s="70"/>
      <c r="E116" s="70"/>
      <c r="F116" s="70"/>
    </row>
    <row r="117" spans="1:6" x14ac:dyDescent="0.25">
      <c r="A117" s="70"/>
      <c r="B117" s="70"/>
      <c r="C117" s="70"/>
      <c r="D117" s="70"/>
      <c r="E117" s="70"/>
      <c r="F117" s="70"/>
    </row>
  </sheetData>
  <mergeCells count="32">
    <mergeCell ref="A9:A10"/>
    <mergeCell ref="B9:B10"/>
    <mergeCell ref="C9:C10"/>
    <mergeCell ref="D9:F9"/>
    <mergeCell ref="A5:G5"/>
    <mergeCell ref="A6:G6"/>
    <mergeCell ref="G9:G10"/>
    <mergeCell ref="A8:G8"/>
    <mergeCell ref="A1:G1"/>
    <mergeCell ref="A2:G2"/>
    <mergeCell ref="A3:G3"/>
    <mergeCell ref="A4:G4"/>
    <mergeCell ref="A7:G7"/>
    <mergeCell ref="G16:G21"/>
    <mergeCell ref="G23:G25"/>
    <mergeCell ref="G31:G76"/>
    <mergeCell ref="G78:G99"/>
    <mergeCell ref="A116:F116"/>
    <mergeCell ref="A108:F108"/>
    <mergeCell ref="A109:F109"/>
    <mergeCell ref="A103:F103"/>
    <mergeCell ref="A106:G106"/>
    <mergeCell ref="A104:G104"/>
    <mergeCell ref="A105:G105"/>
    <mergeCell ref="A107:G107"/>
    <mergeCell ref="A117:F117"/>
    <mergeCell ref="A110:F110"/>
    <mergeCell ref="A111:F111"/>
    <mergeCell ref="A112:F112"/>
    <mergeCell ref="A113:F113"/>
    <mergeCell ref="A114:F114"/>
    <mergeCell ref="A115:F115"/>
  </mergeCells>
  <pageMargins left="0.28000000000000003" right="0.28000000000000003" top="0.75" bottom="0.48" header="0.3" footer="0.25"/>
  <pageSetup paperSize="9" orientation="portrait" verticalDpi="0" r:id="rId1"/>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026642-1C81-41EA-A745-A1026C86934F}"/>
</file>

<file path=customXml/itemProps2.xml><?xml version="1.0" encoding="utf-8"?>
<ds:datastoreItem xmlns:ds="http://schemas.openxmlformats.org/officeDocument/2006/customXml" ds:itemID="{97BEE3D9-8CB0-4610-B326-E1896D7AA7B7}"/>
</file>

<file path=customXml/itemProps3.xml><?xml version="1.0" encoding="utf-8"?>
<ds:datastoreItem xmlns:ds="http://schemas.openxmlformats.org/officeDocument/2006/customXml" ds:itemID="{44568006-6294-4517-B5EB-B48E9F93B3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ĐƠN GIÁ TRTT</vt:lpstr>
      <vt:lpstr>'ĐƠN GIÁ TRTT'!Print_Area</vt:lpstr>
      <vt:lpstr>'ĐƠN GIÁ TRTT'!Print_Titles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2025-02-26T08:25:41Z</dcterms:modified>
</cp:coreProperties>
</file>